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11655" activeTab="0"/>
  </bookViews>
  <sheets>
    <sheet name="子規文庫(和）" sheetId="1" r:id="rId1"/>
    <sheet name="子規文庫(洋）" sheetId="2" r:id="rId2"/>
  </sheets>
  <definedNames>
    <definedName name="_xlnm._FilterDatabase" localSheetId="1" hidden="1">'子規文庫(洋）'!$C$1:$C$48</definedName>
    <definedName name="_xlnm._FilterDatabase" localSheetId="0" hidden="1">'子規文庫(和）'!$C$1:$C$2068</definedName>
    <definedName name="_xlnm.Print_Titles" localSheetId="1">'子規文庫(洋）'!$1:$1</definedName>
  </definedNames>
  <calcPr fullCalcOnLoad="1"/>
</workbook>
</file>

<file path=xl/sharedStrings.xml><?xml version="1.0" encoding="utf-8"?>
<sst xmlns="http://schemas.openxmlformats.org/spreadsheetml/2006/main" count="6" uniqueCount="6">
  <si>
    <t>Fat and thin = Le ventre de Paris : a realistic novel / by Émile Zola.-- New ed..-- Vizetelly; 1889.-- (The Rougon-Macquart family ; 3).</t>
  </si>
  <si>
    <t>Compendium der Psychologie und Logik : für die Gymnasien und Realschulen erster Drdnung / von I. A. Wentzke.-- Druck und Berlag von B. G. Leubner; 1868.</t>
  </si>
  <si>
    <t>A pocket dictionary of the French &amp; English languages / by Léon Contanseau.-- New ed..-- Longmans, Green; 1893.</t>
  </si>
  <si>
    <t>Sir John Malcolm's life of Lord Clive : an essay / by T. Babington Macaulay.-- Rikugō-kwan; 1885.</t>
  </si>
  <si>
    <t>Nana : a realistic novel / by Émile Zola ; edited by Edward Wharton Chalmers.-- Laird &amp; Lee; c1888.-- (The pastime series ; vol. 14).</t>
  </si>
  <si>
    <t>Abbé Mouret's transgression : a realistic novel / by Émile Zola.-- New ed..-- Vizetelly; 1887.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</si>
</sst>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">
    <xf numFmtId="0" fontId="0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7" fillId="33" borderId="10" xfId="0" applyFont="1" applyFill="1" applyBorder="1" applyAlignment="1">
      <alignment horizontal="center" vertical="center"/>
    </xf>
    <xf numFmtId="0" fontId="37" fillId="0" borderId="10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68"/>
  <sheetViews>
    <sheetView tabSelected="1" zoomScalePageLayoutView="0" workbookViewId="0" topLeftCell="A998">
      <selection activeCell="A943" sqref="A943"/>
    </sheetView>
  </sheetViews>
  <sheetFormatPr defaultColWidth="9.140625" defaultRowHeight="15"/>
  <cols>
    <col min="1" max="1" width="26.8515625" style="1" customWidth="1"/>
    <col min="2" max="2" width="27.140625" style="1" customWidth="1"/>
    <col min="3" max="3" width="101.00390625" style="1" customWidth="1"/>
    <col min="4" max="16384" width="9.00390625" style="1" customWidth="1"/>
  </cols>
  <sheetData>
    <row r="1" spans="1:3" ht="11.25">
      <c r="A1" s="2" t="str">
        <f>"請求記号"</f>
        <v>請求記号</v>
      </c>
      <c r="B1" s="2" t="str">
        <f>"巻次"</f>
        <v>巻次</v>
      </c>
      <c r="C1" s="2" t="str">
        <f>"書名"</f>
        <v>書名</v>
      </c>
    </row>
    <row r="2" spans="1:3" ht="11.25">
      <c r="A2" s="3" t="str">
        <f>"021/1//MASAOKA"</f>
        <v>021/1//MASAOKA</v>
      </c>
      <c r="B2" s="3">
        <f>""</f>
      </c>
      <c r="C2" s="3" t="str">
        <f>"慶長以来小説家著述目録 / 中根肅治編.-- 青山堂; 明治26(1893)年6月."</f>
        <v>慶長以来小説家著述目録 / 中根肅治編.-- 青山堂; 明治26(1893)年6月.</v>
      </c>
    </row>
    <row r="3" spans="1:3" ht="11.25">
      <c r="A3" s="3" t="str">
        <f>"025/1/1/MASAOKA"</f>
        <v>025/1/1/MASAOKA</v>
      </c>
      <c r="B3" s="3" t="str">
        <f>"1"</f>
        <v>1</v>
      </c>
      <c r="C3" s="3" t="str">
        <f aca="true" t="shared" si="0" ref="C3:C14">"書籍目録大全 / [浪華田勘兵衛編] ; 1-12 - 12.-- 浪華書林多田勘兵衛; 享和1(1801)12月刊."</f>
        <v>書籍目録大全 / [浪華田勘兵衛編] ; 1-12 - 12.-- 浪華書林多田勘兵衛; 享和1(1801)12月刊.</v>
      </c>
    </row>
    <row r="4" spans="1:3" ht="11.25">
      <c r="A4" s="3" t="str">
        <f>"025/1/2/MASAOKA"</f>
        <v>025/1/2/MASAOKA</v>
      </c>
      <c r="B4" s="3" t="str">
        <f>"2"</f>
        <v>2</v>
      </c>
      <c r="C4" s="3" t="str">
        <f t="shared" si="0"/>
        <v>書籍目録大全 / [浪華田勘兵衛編] ; 1-12 - 12.-- 浪華書林多田勘兵衛; 享和1(1801)12月刊.</v>
      </c>
    </row>
    <row r="5" spans="1:3" ht="11.25">
      <c r="A5" s="3" t="str">
        <f>"025/1/3/MASAOKA"</f>
        <v>025/1/3/MASAOKA</v>
      </c>
      <c r="B5" s="3" t="str">
        <f>"3"</f>
        <v>3</v>
      </c>
      <c r="C5" s="3" t="str">
        <f t="shared" si="0"/>
        <v>書籍目録大全 / [浪華田勘兵衛編] ; 1-12 - 12.-- 浪華書林多田勘兵衛; 享和1(1801)12月刊.</v>
      </c>
    </row>
    <row r="6" spans="1:3" ht="11.25">
      <c r="A6" s="3" t="str">
        <f>"025/1/4/MASAOKA"</f>
        <v>025/1/4/MASAOKA</v>
      </c>
      <c r="B6" s="3" t="str">
        <f>"4"</f>
        <v>4</v>
      </c>
      <c r="C6" s="3" t="str">
        <f t="shared" si="0"/>
        <v>書籍目録大全 / [浪華田勘兵衛編] ; 1-12 - 12.-- 浪華書林多田勘兵衛; 享和1(1801)12月刊.</v>
      </c>
    </row>
    <row r="7" spans="1:3" ht="11.25">
      <c r="A7" s="3" t="str">
        <f>"025/1/5/MASAOKA"</f>
        <v>025/1/5/MASAOKA</v>
      </c>
      <c r="B7" s="3" t="str">
        <f>"5"</f>
        <v>5</v>
      </c>
      <c r="C7" s="3" t="str">
        <f t="shared" si="0"/>
        <v>書籍目録大全 / [浪華田勘兵衛編] ; 1-12 - 12.-- 浪華書林多田勘兵衛; 享和1(1801)12月刊.</v>
      </c>
    </row>
    <row r="8" spans="1:3" ht="11.25">
      <c r="A8" s="3" t="str">
        <f>"025/1/6/MASAOKA"</f>
        <v>025/1/6/MASAOKA</v>
      </c>
      <c r="B8" s="3" t="str">
        <f>"6"</f>
        <v>6</v>
      </c>
      <c r="C8" s="3" t="str">
        <f t="shared" si="0"/>
        <v>書籍目録大全 / [浪華田勘兵衛編] ; 1-12 - 12.-- 浪華書林多田勘兵衛; 享和1(1801)12月刊.</v>
      </c>
    </row>
    <row r="9" spans="1:3" ht="11.25">
      <c r="A9" s="3" t="str">
        <f>"025/1/7/MASAOKA"</f>
        <v>025/1/7/MASAOKA</v>
      </c>
      <c r="B9" s="3" t="str">
        <f>"7"</f>
        <v>7</v>
      </c>
      <c r="C9" s="3" t="str">
        <f t="shared" si="0"/>
        <v>書籍目録大全 / [浪華田勘兵衛編] ; 1-12 - 12.-- 浪華書林多田勘兵衛; 享和1(1801)12月刊.</v>
      </c>
    </row>
    <row r="10" spans="1:3" ht="11.25">
      <c r="A10" s="3" t="str">
        <f>"025/1/8/MASAOKA"</f>
        <v>025/1/8/MASAOKA</v>
      </c>
      <c r="B10" s="3" t="str">
        <f>"8"</f>
        <v>8</v>
      </c>
      <c r="C10" s="3" t="str">
        <f t="shared" si="0"/>
        <v>書籍目録大全 / [浪華田勘兵衛編] ; 1-12 - 12.-- 浪華書林多田勘兵衛; 享和1(1801)12月刊.</v>
      </c>
    </row>
    <row r="11" spans="1:3" ht="11.25">
      <c r="A11" s="3" t="str">
        <f>"025/1/9/MASAOKA"</f>
        <v>025/1/9/MASAOKA</v>
      </c>
      <c r="B11" s="3" t="str">
        <f>"9"</f>
        <v>9</v>
      </c>
      <c r="C11" s="3" t="str">
        <f t="shared" si="0"/>
        <v>書籍目録大全 / [浪華田勘兵衛編] ; 1-12 - 12.-- 浪華書林多田勘兵衛; 享和1(1801)12月刊.</v>
      </c>
    </row>
    <row r="12" spans="1:3" ht="11.25">
      <c r="A12" s="3" t="str">
        <f>"025/1/10/MASAOKA"</f>
        <v>025/1/10/MASAOKA</v>
      </c>
      <c r="B12" s="3" t="str">
        <f>"10"</f>
        <v>10</v>
      </c>
      <c r="C12" s="3" t="str">
        <f t="shared" si="0"/>
        <v>書籍目録大全 / [浪華田勘兵衛編] ; 1-12 - 12.-- 浪華書林多田勘兵衛; 享和1(1801)12月刊.</v>
      </c>
    </row>
    <row r="13" spans="1:3" ht="11.25">
      <c r="A13" s="3" t="str">
        <f>"025/1/11/MASAOKA"</f>
        <v>025/1/11/MASAOKA</v>
      </c>
      <c r="B13" s="3" t="str">
        <f>"11"</f>
        <v>11</v>
      </c>
      <c r="C13" s="3" t="str">
        <f t="shared" si="0"/>
        <v>書籍目録大全 / [浪華田勘兵衛編] ; 1-12 - 12.-- 浪華書林多田勘兵衛; 享和1(1801)12月刊.</v>
      </c>
    </row>
    <row r="14" spans="1:3" ht="11.25">
      <c r="A14" s="3" t="str">
        <f>"025/1/12/MASAOKA"</f>
        <v>025/1/12/MASAOKA</v>
      </c>
      <c r="B14" s="3" t="str">
        <f>"12"</f>
        <v>12</v>
      </c>
      <c r="C14" s="3" t="str">
        <f t="shared" si="0"/>
        <v>書籍目録大全 / [浪華田勘兵衛編] ; 1-12 - 12.-- 浪華書林多田勘兵衛; 享和1(1801)12月刊.</v>
      </c>
    </row>
    <row r="15" spans="1:3" ht="11.25">
      <c r="A15" s="3" t="str">
        <f>"027/1//MASAOKA"</f>
        <v>027/1//MASAOKA</v>
      </c>
      <c r="B15" s="3">
        <f>""</f>
      </c>
      <c r="C15" s="3" t="str">
        <f>"青山氏著述目録 / [青山延寿著].-- [出版者不明]; 明治2(1869)年春刊."</f>
        <v>青山氏著述目録 / [青山延寿著].-- [出版者不明]; 明治2(1869)年春刊.</v>
      </c>
    </row>
    <row r="16" spans="1:3" ht="11.25">
      <c r="A16" s="3" t="str">
        <f>"031/1/1/MASAOKA"</f>
        <v>031/1/1/MASAOKA</v>
      </c>
      <c r="B16" s="3" t="str">
        <f>"1"</f>
        <v>1</v>
      </c>
      <c r="C16" s="3" t="str">
        <f aca="true" t="shared" si="1" ref="C16:C22">"頭書増補訓蒙図彙 / [中村?斎編] ; 1-7 - 7.-- [出版者不明]; 元禄8(1695)年1月刊."</f>
        <v>頭書増補訓蒙図彙 / [中村?斎編] ; 1-7 - 7.-- [出版者不明]; 元禄8(1695)年1月刊.</v>
      </c>
    </row>
    <row r="17" spans="1:3" ht="11.25">
      <c r="A17" s="3" t="str">
        <f>"031/1/2/MASAOKA"</f>
        <v>031/1/2/MASAOKA</v>
      </c>
      <c r="B17" s="3" t="str">
        <f>"2"</f>
        <v>2</v>
      </c>
      <c r="C17" s="3" t="str">
        <f t="shared" si="1"/>
        <v>頭書増補訓蒙図彙 / [中村?斎編] ; 1-7 - 7.-- [出版者不明]; 元禄8(1695)年1月刊.</v>
      </c>
    </row>
    <row r="18" spans="1:3" ht="11.25">
      <c r="A18" s="3" t="str">
        <f>"031/1/3/MASAOKA"</f>
        <v>031/1/3/MASAOKA</v>
      </c>
      <c r="B18" s="3" t="str">
        <f>"3"</f>
        <v>3</v>
      </c>
      <c r="C18" s="3" t="str">
        <f t="shared" si="1"/>
        <v>頭書増補訓蒙図彙 / [中村?斎編] ; 1-7 - 7.-- [出版者不明]; 元禄8(1695)年1月刊.</v>
      </c>
    </row>
    <row r="19" spans="1:3" ht="11.25">
      <c r="A19" s="3" t="str">
        <f>"031/1/4/MASAOKA"</f>
        <v>031/1/4/MASAOKA</v>
      </c>
      <c r="B19" s="3" t="str">
        <f>"4"</f>
        <v>4</v>
      </c>
      <c r="C19" s="3" t="str">
        <f t="shared" si="1"/>
        <v>頭書増補訓蒙図彙 / [中村?斎編] ; 1-7 - 7.-- [出版者不明]; 元禄8(1695)年1月刊.</v>
      </c>
    </row>
    <row r="20" spans="1:3" ht="11.25">
      <c r="A20" s="3" t="str">
        <f>"031/1/5/MASAOKA"</f>
        <v>031/1/5/MASAOKA</v>
      </c>
      <c r="B20" s="3" t="str">
        <f>"5"</f>
        <v>5</v>
      </c>
      <c r="C20" s="3" t="str">
        <f t="shared" si="1"/>
        <v>頭書増補訓蒙図彙 / [中村?斎編] ; 1-7 - 7.-- [出版者不明]; 元禄8(1695)年1月刊.</v>
      </c>
    </row>
    <row r="21" spans="1:3" ht="11.25">
      <c r="A21" s="3" t="str">
        <f>"031/1/6/MASAOKA"</f>
        <v>031/1/6/MASAOKA</v>
      </c>
      <c r="B21" s="3" t="str">
        <f>"6"</f>
        <v>6</v>
      </c>
      <c r="C21" s="3" t="str">
        <f t="shared" si="1"/>
        <v>頭書増補訓蒙図彙 / [中村?斎編] ; 1-7 - 7.-- [出版者不明]; 元禄8(1695)年1月刊.</v>
      </c>
    </row>
    <row r="22" spans="1:3" ht="11.25">
      <c r="A22" s="3" t="str">
        <f>"031/1/7/MASAOKA"</f>
        <v>031/1/7/MASAOKA</v>
      </c>
      <c r="B22" s="3" t="str">
        <f>"7"</f>
        <v>7</v>
      </c>
      <c r="C22" s="3" t="str">
        <f t="shared" si="1"/>
        <v>頭書増補訓蒙図彙 / [中村?斎編] ; 1-7 - 7.-- [出版者不明]; 元禄8(1695)年1月刊.</v>
      </c>
    </row>
    <row r="23" spans="1:3" ht="11.25">
      <c r="A23" s="3" t="str">
        <f>"031/2//MASAOKA"</f>
        <v>031/2//MASAOKA</v>
      </c>
      <c r="B23" s="3" t="str">
        <f>"20"</f>
        <v>20</v>
      </c>
      <c r="C23" s="3" t="str">
        <f>"頭書増補訓蒙図彙 / [中村?斎(之欽)編] ; 20.-- [出版者不明]; [出版年不明]."</f>
        <v>頭書増補訓蒙図彙 / [中村?斎(之欽)編] ; 20.-- [出版者不明]; [出版年不明].</v>
      </c>
    </row>
    <row r="24" spans="1:3" ht="11.25">
      <c r="A24" s="3" t="str">
        <f>"041/1/5/MASAOKA"</f>
        <v>041/1/5/MASAOKA</v>
      </c>
      <c r="B24" s="3" t="str">
        <f>"5"</f>
        <v>5</v>
      </c>
      <c r="C24" s="3" t="str">
        <f>"皇典研究所講演 / [三上参次ほか編] ; 5, 7.-- 皇典研究所; 明治22(1889)年."</f>
        <v>皇典研究所講演 / [三上参次ほか編] ; 5, 7.-- 皇典研究所; 明治22(1889)年.</v>
      </c>
    </row>
    <row r="25" spans="1:3" ht="11.25">
      <c r="A25" s="3" t="str">
        <f>"041/1/7/MASAOKA"</f>
        <v>041/1/7/MASAOKA</v>
      </c>
      <c r="B25" s="3" t="str">
        <f>"7"</f>
        <v>7</v>
      </c>
      <c r="C25" s="3" t="str">
        <f>"皇典研究所講演 / [三上参次ほか編] ; 5, 7.-- 皇典研究所; 明治22(1889)年."</f>
        <v>皇典研究所講演 / [三上参次ほか編] ; 5, 7.-- 皇典研究所; 明治22(1889)年.</v>
      </c>
    </row>
    <row r="26" spans="1:3" ht="11.25">
      <c r="A26" s="3" t="str">
        <f>"050/1/3/MASAOKA"</f>
        <v>050/1/3/MASAOKA</v>
      </c>
      <c r="B26" s="3" t="str">
        <f>"第3卷 第24-31號"</f>
        <v>第3卷 第24-31號</v>
      </c>
      <c r="C26" s="3" t="str">
        <f aca="true" t="shared" si="2" ref="C26:C32">"東京人類學會雜誌 / 坪井正五郎編 ; 第3卷 第24-31號 - 第8卷 第82-85號.-- 東京人類學會事務所."</f>
        <v>東京人類學會雜誌 / 坪井正五郎編 ; 第3卷 第24-31號 - 第8卷 第82-85號.-- 東京人類學會事務所.</v>
      </c>
    </row>
    <row r="27" spans="1:3" ht="11.25">
      <c r="A27" s="3" t="str">
        <f>"050/1/4/MASAOKA"</f>
        <v>050/1/4/MASAOKA</v>
      </c>
      <c r="B27" s="3" t="str">
        <f>"第4卷 第32, 34-43號"</f>
        <v>第4卷 第32, 34-43號</v>
      </c>
      <c r="C27" s="3" t="str">
        <f t="shared" si="2"/>
        <v>東京人類學會雜誌 / 坪井正五郎編 ; 第3卷 第24-31號 - 第8卷 第82-85號.-- 東京人類學會事務所.</v>
      </c>
    </row>
    <row r="28" spans="1:3" ht="11.25">
      <c r="A28" s="3" t="str">
        <f>"050/1/5/MASAOKA"</f>
        <v>050/1/5/MASAOKA</v>
      </c>
      <c r="B28" s="3" t="str">
        <f>"第5卷 第44-54號"</f>
        <v>第5卷 第44-54號</v>
      </c>
      <c r="C28" s="3" t="str">
        <f t="shared" si="2"/>
        <v>東京人類學會雜誌 / 坪井正五郎編 ; 第3卷 第24-31號 - 第8卷 第82-85號.-- 東京人類學會事務所.</v>
      </c>
    </row>
    <row r="29" spans="1:3" ht="11.25">
      <c r="A29" s="3" t="str">
        <f>"050/1/6-1/MASAOKA"</f>
        <v>050/1/6-1/MASAOKA</v>
      </c>
      <c r="B29" s="3" t="str">
        <f>"第6卷 第55-57號"</f>
        <v>第6卷 第55-57號</v>
      </c>
      <c r="C29" s="3" t="str">
        <f t="shared" si="2"/>
        <v>東京人類學會雜誌 / 坪井正五郎編 ; 第3卷 第24-31號 - 第8卷 第82-85號.-- 東京人類學會事務所.</v>
      </c>
    </row>
    <row r="30" spans="1:3" ht="11.25">
      <c r="A30" s="3" t="str">
        <f>"050/1/6-2/MASAOKA"</f>
        <v>050/1/6-2/MASAOKA</v>
      </c>
      <c r="B30" s="3" t="str">
        <f>"第6卷 第58-66號, 第7卷 第67-69號"</f>
        <v>第6卷 第58-66號, 第7卷 第67-69號</v>
      </c>
      <c r="C30" s="3" t="str">
        <f t="shared" si="2"/>
        <v>東京人類學會雜誌 / 坪井正五郎編 ; 第3卷 第24-31號 - 第8卷 第82-85號.-- 東京人類學會事務所.</v>
      </c>
    </row>
    <row r="31" spans="1:3" ht="11.25">
      <c r="A31" s="3" t="str">
        <f>"050/1/7/MASAOKA"</f>
        <v>050/1/7/MASAOKA</v>
      </c>
      <c r="B31" s="3" t="str">
        <f>"第7卷 第70-78號, 第8卷 第79-81號"</f>
        <v>第7卷 第70-78號, 第8卷 第79-81號</v>
      </c>
      <c r="C31" s="3" t="str">
        <f t="shared" si="2"/>
        <v>東京人類學會雜誌 / 坪井正五郎編 ; 第3卷 第24-31號 - 第8卷 第82-85號.-- 東京人類學會事務所.</v>
      </c>
    </row>
    <row r="32" spans="1:3" ht="11.25">
      <c r="A32" s="3" t="str">
        <f>"050/1/8/MASAOKA"</f>
        <v>050/1/8/MASAOKA</v>
      </c>
      <c r="B32" s="3" t="str">
        <f>"第8卷 第82-85號"</f>
        <v>第8卷 第82-85號</v>
      </c>
      <c r="C32" s="3" t="str">
        <f t="shared" si="2"/>
        <v>東京人類學會雜誌 / 坪井正五郎編 ; 第3卷 第24-31號 - 第8卷 第82-85號.-- 東京人類學會事務所.</v>
      </c>
    </row>
    <row r="33" spans="1:3" ht="11.25">
      <c r="A33" s="3" t="str">
        <f>"050/2//MASAOKA"</f>
        <v>050/2//MASAOKA</v>
      </c>
      <c r="B33" s="3" t="str">
        <f>"第26號-第34號, 第36號"</f>
        <v>第26號-第34號, 第36號</v>
      </c>
      <c r="C33" s="3" t="str">
        <f>"史學會雜誌 / 中村小兵衛編 ; 第26號-第34號, 第36號.-- 大成館; 1892."</f>
        <v>史學會雜誌 / 中村小兵衛編 ; 第26號-第34號, 第36號.-- 大成館; 1892.</v>
      </c>
    </row>
    <row r="34" spans="1:3" ht="11.25">
      <c r="A34" s="3" t="str">
        <f>"050/3//MASAOKA"</f>
        <v>050/3//MASAOKA</v>
      </c>
      <c r="B34" s="3">
        <f>""</f>
      </c>
      <c r="C34" s="3" t="str">
        <f>"哲學會雜誌 / 加賀秀一編 . 哲學雜誌 / 棚橋一郎編.-- 哲學會事務所 :  哲學雜誌社."</f>
        <v>哲學會雜誌 / 加賀秀一編 . 哲學雜誌 / 棚橋一郎編.-- 哲學會事務所 :  哲學雜誌社.</v>
      </c>
    </row>
    <row r="35" spans="1:3" ht="11.25">
      <c r="A35" s="3" t="str">
        <f>"050/4//MASAOKA"</f>
        <v>050/4//MASAOKA</v>
      </c>
      <c r="B35" s="3" t="str">
        <f>"第1號"</f>
        <v>第1號</v>
      </c>
      <c r="C35" s="3" t="str">
        <f>"歌學 / 金子富太郎編 ; 第1號.-- 東京堂; 1892.3."</f>
        <v>歌學 / 金子富太郎編 ; 第1號.-- 東京堂; 1892.3.</v>
      </c>
    </row>
    <row r="36" spans="1:3" ht="11.25">
      <c r="A36" s="3" t="str">
        <f>"050/5//MASAOKA"</f>
        <v>050/5//MASAOKA</v>
      </c>
      <c r="B36" s="3" t="str">
        <f>"第2號"</f>
        <v>第2號</v>
      </c>
      <c r="C36" s="3" t="str">
        <f>"俳諧 / 三井駒治編 ; 第2號.-- 俳諧雜誌社; 1893.5."</f>
        <v>俳諧 / 三井駒治編 ; 第2號.-- 俳諧雜誌社; 1893.5.</v>
      </c>
    </row>
    <row r="37" spans="1:3" ht="11.25">
      <c r="A37" s="3" t="str">
        <f>"050/6//MASAOKA"</f>
        <v>050/6//MASAOKA</v>
      </c>
      <c r="B37" s="3" t="str">
        <f>"第83-85號"</f>
        <v>第83-85號</v>
      </c>
      <c r="C37" s="3" t="str">
        <f>"日本美術 / 川崎安編 ; 第83-85號.-- 日本美術社; 1906."</f>
        <v>日本美術 / 川崎安編 ; 第83-85號.-- 日本美術社; 1906.</v>
      </c>
    </row>
    <row r="38" spans="1:3" ht="11.25">
      <c r="A38" s="3" t="str">
        <f>"050/7//MASAOKA"</f>
        <v>050/7//MASAOKA</v>
      </c>
      <c r="B38" s="3" t="str">
        <f>"第1-2號"</f>
        <v>第1-2號</v>
      </c>
      <c r="C38" s="3" t="str">
        <f>"日本演藝矯風會雜誌 / 田口高朗編 ; 第1-2號.-- 日本演藝矯風會假事務所; 1888.12-1889.1."</f>
        <v>日本演藝矯風會雜誌 / 田口高朗編 ; 第1-2號.-- 日本演藝矯風會假事務所; 1888.12-1889.1.</v>
      </c>
    </row>
    <row r="39" spans="1:3" ht="11.25">
      <c r="A39" s="3" t="str">
        <f>"050/8//MASAOKA"</f>
        <v>050/8//MASAOKA</v>
      </c>
      <c r="B39" s="3" t="str">
        <f>"ふた枝"</f>
        <v>ふた枝</v>
      </c>
      <c r="C39" s="3" t="str">
        <f>"花たら誌 / 大槻銑二朗編 ; ふた枝.-- 文友舎; 1888.8."</f>
        <v>花たら誌 / 大槻銑二朗編 ; ふた枝.-- 文友舎; 1888.8.</v>
      </c>
    </row>
    <row r="40" spans="1:3" ht="11.25">
      <c r="A40" s="3" t="str">
        <f>"050/9//MASAOKA"</f>
        <v>050/9//MASAOKA</v>
      </c>
      <c r="B40" s="3" t="str">
        <f>"第100冊"</f>
        <v>第100冊</v>
      </c>
      <c r="C40" s="3" t="str">
        <f>"學藝志林 / 東京大學編纂 ; 第100冊.-- [出版者不明]."</f>
        <v>學藝志林 / 東京大學編纂 ; 第100冊.-- [出版者不明].</v>
      </c>
    </row>
    <row r="41" spans="1:3" ht="11.25">
      <c r="A41" s="3" t="str">
        <f>"050/10//MASAOKA"</f>
        <v>050/10//MASAOKA</v>
      </c>
      <c r="B41" s="3" t="str">
        <f>"第5, 7號"</f>
        <v>第5, 7號</v>
      </c>
      <c r="C41" s="3" t="str">
        <f>"隨筆集誌 / 中尾直治編 ; 第5, 7號.-- 芳文堂; 1892.12-1893.1."</f>
        <v>隨筆集誌 / 中尾直治編 ; 第5, 7號.-- 芳文堂; 1892.12-1893.1.</v>
      </c>
    </row>
    <row r="42" spans="1:3" ht="11.25">
      <c r="A42" s="3" t="str">
        <f>"050/11//MASAOKA"</f>
        <v>050/11//MASAOKA</v>
      </c>
      <c r="B42" s="3" t="str">
        <f>"前編"</f>
        <v>前編</v>
      </c>
      <c r="C42" s="3" t="str">
        <f>"秀才文叢 / 上村貞子編 ; 前編.-- 博文館; 1897.4.-- (少年文集 ; 第3卷第5號臨時増刊)."</f>
        <v>秀才文叢 / 上村貞子編 ; 前編.-- 博文館; 1897.4.-- (少年文集 ; 第3卷第5號臨時増刊).</v>
      </c>
    </row>
    <row r="43" spans="1:3" ht="11.25">
      <c r="A43" s="3" t="str">
        <f>"050/12//MASAOKA"</f>
        <v>050/12//MASAOKA</v>
      </c>
      <c r="B43" s="3" t="str">
        <f>"第2卷第5編"</f>
        <v>第2卷第5編</v>
      </c>
      <c r="C43" s="3" t="str">
        <f>"文藝倶樂部 / 宮澤春文編 ; 第2卷第5編.-- 博文舘; 1896.4."</f>
        <v>文藝倶樂部 / 宮澤春文編 ; 第2卷第5編.-- 博文舘; 1896.4.</v>
      </c>
    </row>
    <row r="44" spans="1:3" ht="11.25">
      <c r="A44" s="3" t="str">
        <f>"050/13//MASAOKA"</f>
        <v>050/13//MASAOKA</v>
      </c>
      <c r="B44" s="3" t="str">
        <f>"5"</f>
        <v>5</v>
      </c>
      <c r="C44" s="3" t="str">
        <f>"かなのまなび / 波多野承五郎編 ; 5.-- かなのくわいゆきのぶ; 1883.12."</f>
        <v>かなのまなび / 波多野承五郎編 ; 5.-- かなのくわいゆきのぶ; 1883.12.</v>
      </c>
    </row>
    <row r="45" spans="1:3" ht="11.25">
      <c r="A45" s="3" t="str">
        <f>"080/1/1/MASAOKA"</f>
        <v>080/1/1/MASAOKA</v>
      </c>
      <c r="B45" s="3" t="str">
        <f>"1"</f>
        <v>1</v>
      </c>
      <c r="C45" s="3" t="str">
        <f aca="true" t="shared" si="3" ref="C45:C55">"百万塔 / 中根淑編 ; 1 - 11.-- 金港堂; 明治24-25(1891-1892)年."</f>
        <v>百万塔 / 中根淑編 ; 1 - 11.-- 金港堂; 明治24-25(1891-1892)年.</v>
      </c>
    </row>
    <row r="46" spans="1:3" ht="11.25">
      <c r="A46" s="3" t="str">
        <f>"080/1/2/MASAOKA"</f>
        <v>080/1/2/MASAOKA</v>
      </c>
      <c r="B46" s="3" t="str">
        <f>"2"</f>
        <v>2</v>
      </c>
      <c r="C46" s="3" t="str">
        <f t="shared" si="3"/>
        <v>百万塔 / 中根淑編 ; 1 - 11.-- 金港堂; 明治24-25(1891-1892)年.</v>
      </c>
    </row>
    <row r="47" spans="1:3" ht="11.25">
      <c r="A47" s="3" t="str">
        <f>"080/1/3/MASAOKA"</f>
        <v>080/1/3/MASAOKA</v>
      </c>
      <c r="B47" s="3" t="str">
        <f>"3"</f>
        <v>3</v>
      </c>
      <c r="C47" s="3" t="str">
        <f t="shared" si="3"/>
        <v>百万塔 / 中根淑編 ; 1 - 11.-- 金港堂; 明治24-25(1891-1892)年.</v>
      </c>
    </row>
    <row r="48" spans="1:3" ht="11.25">
      <c r="A48" s="3" t="str">
        <f>"080/1/4/MASAOKA"</f>
        <v>080/1/4/MASAOKA</v>
      </c>
      <c r="B48" s="3" t="str">
        <f>"4"</f>
        <v>4</v>
      </c>
      <c r="C48" s="3" t="str">
        <f t="shared" si="3"/>
        <v>百万塔 / 中根淑編 ; 1 - 11.-- 金港堂; 明治24-25(1891-1892)年.</v>
      </c>
    </row>
    <row r="49" spans="1:3" ht="11.25">
      <c r="A49" s="3" t="str">
        <f>"080/1/5/MASAOKA"</f>
        <v>080/1/5/MASAOKA</v>
      </c>
      <c r="B49" s="3" t="str">
        <f>"5"</f>
        <v>5</v>
      </c>
      <c r="C49" s="3" t="str">
        <f t="shared" si="3"/>
        <v>百万塔 / 中根淑編 ; 1 - 11.-- 金港堂; 明治24-25(1891-1892)年.</v>
      </c>
    </row>
    <row r="50" spans="1:3" ht="11.25">
      <c r="A50" s="3" t="str">
        <f>"080/1/6/MASAOKA"</f>
        <v>080/1/6/MASAOKA</v>
      </c>
      <c r="B50" s="3" t="str">
        <f>"6"</f>
        <v>6</v>
      </c>
      <c r="C50" s="3" t="str">
        <f t="shared" si="3"/>
        <v>百万塔 / 中根淑編 ; 1 - 11.-- 金港堂; 明治24-25(1891-1892)年.</v>
      </c>
    </row>
    <row r="51" spans="1:3" ht="11.25">
      <c r="A51" s="3" t="str">
        <f>"080/1/7/MASAOKA"</f>
        <v>080/1/7/MASAOKA</v>
      </c>
      <c r="B51" s="3" t="str">
        <f>"7"</f>
        <v>7</v>
      </c>
      <c r="C51" s="3" t="str">
        <f t="shared" si="3"/>
        <v>百万塔 / 中根淑編 ; 1 - 11.-- 金港堂; 明治24-25(1891-1892)年.</v>
      </c>
    </row>
    <row r="52" spans="1:3" ht="11.25">
      <c r="A52" s="3" t="str">
        <f>"080/1/8/MASAOKA"</f>
        <v>080/1/8/MASAOKA</v>
      </c>
      <c r="B52" s="3" t="str">
        <f>"8"</f>
        <v>8</v>
      </c>
      <c r="C52" s="3" t="str">
        <f t="shared" si="3"/>
        <v>百万塔 / 中根淑編 ; 1 - 11.-- 金港堂; 明治24-25(1891-1892)年.</v>
      </c>
    </row>
    <row r="53" spans="1:3" ht="11.25">
      <c r="A53" s="3" t="str">
        <f>"080/1/9/MASAOKA"</f>
        <v>080/1/9/MASAOKA</v>
      </c>
      <c r="B53" s="3" t="str">
        <f>"9"</f>
        <v>9</v>
      </c>
      <c r="C53" s="3" t="str">
        <f t="shared" si="3"/>
        <v>百万塔 / 中根淑編 ; 1 - 11.-- 金港堂; 明治24-25(1891-1892)年.</v>
      </c>
    </row>
    <row r="54" spans="1:3" ht="11.25">
      <c r="A54" s="3" t="str">
        <f>"080/1/10/MASAOKA"</f>
        <v>080/1/10/MASAOKA</v>
      </c>
      <c r="B54" s="3" t="str">
        <f>"10"</f>
        <v>10</v>
      </c>
      <c r="C54" s="3" t="str">
        <f t="shared" si="3"/>
        <v>百万塔 / 中根淑編 ; 1 - 11.-- 金港堂; 明治24-25(1891-1892)年.</v>
      </c>
    </row>
    <row r="55" spans="1:3" ht="11.25">
      <c r="A55" s="3" t="str">
        <f>"080/1/11/MASAOKA"</f>
        <v>080/1/11/MASAOKA</v>
      </c>
      <c r="B55" s="3" t="str">
        <f>"11"</f>
        <v>11</v>
      </c>
      <c r="C55" s="3" t="str">
        <f t="shared" si="3"/>
        <v>百万塔 / 中根淑編 ; 1 - 11.-- 金港堂; 明治24-25(1891-1892)年.</v>
      </c>
    </row>
    <row r="56" spans="1:3" ht="11.25">
      <c r="A56" s="3" t="str">
        <f>"081/1/134/MASAOKA"</f>
        <v>081/1/134/MASAOKA</v>
      </c>
      <c r="B56" s="3" t="str">
        <f>"巻134"</f>
        <v>巻134</v>
      </c>
      <c r="C56" s="3" t="str">
        <f>"群書類従 / 塙保己一集 ; 巻134 - 巻337.-- [出版年不明]."</f>
        <v>群書類従 / 塙保己一集 ; 巻134 - 巻337.-- [出版年不明].</v>
      </c>
    </row>
    <row r="57" spans="1:3" ht="11.25">
      <c r="A57" s="3" t="str">
        <f>"081/1/148-2/MASAOKA"</f>
        <v>081/1/148-2/MASAOKA</v>
      </c>
      <c r="B57" s="3" t="str">
        <f>"巻148下"</f>
        <v>巻148下</v>
      </c>
      <c r="C57" s="3" t="str">
        <f>"群書類従 / 塙保己一集 ; 巻134 - 巻337.-- [出版年不明]."</f>
        <v>群書類従 / 塙保己一集 ; 巻134 - 巻337.-- [出版年不明].</v>
      </c>
    </row>
    <row r="58" spans="1:3" ht="11.25">
      <c r="A58" s="3" t="str">
        <f>"081/1/303/MASAOKA"</f>
        <v>081/1/303/MASAOKA</v>
      </c>
      <c r="B58" s="3" t="str">
        <f>"巻303"</f>
        <v>巻303</v>
      </c>
      <c r="C58" s="3" t="str">
        <f>"群書類従 / 塙保己一集 ; 巻134 - 巻337.-- [出版年不明]."</f>
        <v>群書類従 / 塙保己一集 ; 巻134 - 巻337.-- [出版年不明].</v>
      </c>
    </row>
    <row r="59" spans="1:3" ht="11.25">
      <c r="A59" s="3" t="str">
        <f>"081/1/327/MASAOKA"</f>
        <v>081/1/327/MASAOKA</v>
      </c>
      <c r="B59" s="3" t="str">
        <f>"巻327"</f>
        <v>巻327</v>
      </c>
      <c r="C59" s="3" t="str">
        <f>"群書類従 / 塙保己一集 ; 巻134 - 巻337.-- [出版年不明]."</f>
        <v>群書類従 / 塙保己一集 ; 巻134 - 巻337.-- [出版年不明].</v>
      </c>
    </row>
    <row r="60" spans="1:3" ht="11.25">
      <c r="A60" s="3" t="str">
        <f>"081/1/337/MASAOKA"</f>
        <v>081/1/337/MASAOKA</v>
      </c>
      <c r="B60" s="3" t="str">
        <f>"巻337"</f>
        <v>巻337</v>
      </c>
      <c r="C60" s="3" t="str">
        <f>"群書類従 / 塙保己一集 ; 巻134 - 巻337.-- [出版年不明]."</f>
        <v>群書類従 / 塙保己一集 ; 巻134 - 巻337.-- [出版年不明].</v>
      </c>
    </row>
    <row r="61" spans="1:3" ht="11.25">
      <c r="A61" s="3" t="str">
        <f>"100/1//MASAOKA"</f>
        <v>100/1//MASAOKA</v>
      </c>
      <c r="B61" s="3">
        <f>""</f>
      </c>
      <c r="C61" s="3" t="str">
        <f>"講義録 / 三宅雄二郎,内田周平,村上専精講述.-- [出版者不明]; [出版年不明]."</f>
        <v>講義録 / 三宅雄二郎,内田周平,村上専精講述.-- [出版者不明]; [出版年不明].</v>
      </c>
    </row>
    <row r="62" spans="1:3" ht="11.25">
      <c r="A62" s="3" t="str">
        <f>"100/2//MASAOKA"</f>
        <v>100/2//MASAOKA</v>
      </c>
      <c r="B62" s="3">
        <f>""</f>
      </c>
      <c r="C62" s="3" t="str">
        <f>"希蝋古代理学一班 / 末松謙澄著.-- 文学社; 明治20(1887)年2月再版."</f>
        <v>希蝋古代理学一班 / 末松謙澄著.-- 文学社; 明治20(1887)年2月再版.</v>
      </c>
    </row>
    <row r="63" spans="1:3" ht="11.25">
      <c r="A63" s="3" t="str">
        <f>"110/1/2/MASAOKA"</f>
        <v>110/1/2/MASAOKA</v>
      </c>
      <c r="B63" s="3">
        <f>""</f>
      </c>
      <c r="C63" s="3" t="str">
        <f>"哲学一夕話 / 井上円了述.-- 3版.-- 哲学書院; 明治21(1888)年4月."</f>
        <v>哲学一夕話 / 井上円了述.-- 3版.-- 哲学書院; 明治21(1888)年4月.</v>
      </c>
    </row>
    <row r="64" spans="1:3" ht="11.25">
      <c r="A64" s="3" t="str">
        <f>"110/1/2a/MASAOKA"</f>
        <v>110/1/2a/MASAOKA</v>
      </c>
      <c r="B64" s="3">
        <f>""</f>
      </c>
      <c r="C64" s="3" t="str">
        <f>"哲学一夕話 / 井上円了述.-- 丸善書肆; 明治19(1886)年11月."</f>
        <v>哲学一夕話 / 井上円了述.-- 丸善書肆; 明治19(1886)年11月.</v>
      </c>
    </row>
    <row r="65" spans="1:3" ht="11.25">
      <c r="A65" s="3" t="str">
        <f>"121/1/1/MASAOKA"</f>
        <v>121/1/1/MASAOKA</v>
      </c>
      <c r="B65" s="3" t="str">
        <f>"上"</f>
        <v>上</v>
      </c>
      <c r="C65" s="3" t="str">
        <f>"神代正語 / 本居宣長 ; 上・中・下 - 下.-- 永楽屋片野東四郎; 明治8(1875)年12月."</f>
        <v>神代正語 / 本居宣長 ; 上・中・下 - 下.-- 永楽屋片野東四郎; 明治8(1875)年12月.</v>
      </c>
    </row>
    <row r="66" spans="1:3" ht="11.25">
      <c r="A66" s="3" t="str">
        <f>"121/1/2/MASAOKA"</f>
        <v>121/1/2/MASAOKA</v>
      </c>
      <c r="B66" s="3" t="str">
        <f>"中"</f>
        <v>中</v>
      </c>
      <c r="C66" s="3" t="str">
        <f>"神代正語 / 本居宣長 ; 上・中・下 - 下.-- 永楽屋片野東四郎; 明治8(1875)年12月."</f>
        <v>神代正語 / 本居宣長 ; 上・中・下 - 下.-- 永楽屋片野東四郎; 明治8(1875)年12月.</v>
      </c>
    </row>
    <row r="67" spans="1:3" ht="11.25">
      <c r="A67" s="3" t="str">
        <f>"121/1/3/MASAOKA"</f>
        <v>121/1/3/MASAOKA</v>
      </c>
      <c r="B67" s="3" t="str">
        <f>"下"</f>
        <v>下</v>
      </c>
      <c r="C67" s="3" t="str">
        <f>"神代正語 / 本居宣長 ; 上・中・下 - 下.-- 永楽屋片野東四郎; 明治8(1875)年12月."</f>
        <v>神代正語 / 本居宣長 ; 上・中・下 - 下.-- 永楽屋片野東四郎; 明治8(1875)年12月.</v>
      </c>
    </row>
    <row r="68" spans="1:3" ht="11.25">
      <c r="A68" s="3" t="str">
        <f>"122/2/1/MASAOKA"</f>
        <v>122/2/1/MASAOKA</v>
      </c>
      <c r="B68" s="3" t="str">
        <f>"1-2巻"</f>
        <v>1-2巻</v>
      </c>
      <c r="C68" s="3" t="str">
        <f>"張注列子 / 張湛 ; 1-8巻 - 7-8巻.-- 山本平左衛門; 延享4(1747)年刊."</f>
        <v>張注列子 / 張湛 ; 1-8巻 - 7-8巻.-- 山本平左衛門; 延享4(1747)年刊.</v>
      </c>
    </row>
    <row r="69" spans="1:3" ht="11.25">
      <c r="A69" s="3" t="str">
        <f>"122/2/2/MASAOKA"</f>
        <v>122/2/2/MASAOKA</v>
      </c>
      <c r="B69" s="3" t="str">
        <f>"3-4巻"</f>
        <v>3-4巻</v>
      </c>
      <c r="C69" s="3" t="str">
        <f>"張注列子 / 張湛 ; 1-8巻 - 7-8巻.-- 山本平左衛門; 延享4(1747)年刊."</f>
        <v>張注列子 / 張湛 ; 1-8巻 - 7-8巻.-- 山本平左衛門; 延享4(1747)年刊.</v>
      </c>
    </row>
    <row r="70" spans="1:3" ht="11.25">
      <c r="A70" s="3" t="str">
        <f>"122/2/3/MASAOKA"</f>
        <v>122/2/3/MASAOKA</v>
      </c>
      <c r="B70" s="3" t="str">
        <f>"5-6巻"</f>
        <v>5-6巻</v>
      </c>
      <c r="C70" s="3" t="str">
        <f>"張注列子 / 張湛 ; 1-8巻 - 7-8巻.-- 山本平左衛門; 延享4(1747)年刊."</f>
        <v>張注列子 / 張湛 ; 1-8巻 - 7-8巻.-- 山本平左衛門; 延享4(1747)年刊.</v>
      </c>
    </row>
    <row r="71" spans="1:3" ht="11.25">
      <c r="A71" s="3" t="str">
        <f>"122/2/4/MASAOKA"</f>
        <v>122/2/4/MASAOKA</v>
      </c>
      <c r="B71" s="3" t="str">
        <f>"7-8巻"</f>
        <v>7-8巻</v>
      </c>
      <c r="C71" s="3" t="str">
        <f>"張注列子 / 張湛 ; 1-8巻 - 7-8巻.-- 山本平左衛門; 延享4(1747)年刊."</f>
        <v>張注列子 / 張湛 ; 1-8巻 - 7-8巻.-- 山本平左衛門; 延享4(1747)年刊.</v>
      </c>
    </row>
    <row r="72" spans="1:3" ht="11.25">
      <c r="A72" s="3" t="str">
        <f>"122/3/2/MASAOKA"</f>
        <v>122/3/2/MASAOKA</v>
      </c>
      <c r="B72" s="3" t="str">
        <f>"2"</f>
        <v>2</v>
      </c>
      <c r="C72" s="3" t="str">
        <f>"補義荘子因 / 林雲銘 ; 2-6 - 6.-- 桝原喜兵衛; 寛政8(1796)年2月跋."</f>
        <v>補義荘子因 / 林雲銘 ; 2-6 - 6.-- 桝原喜兵衛; 寛政8(1796)年2月跋.</v>
      </c>
    </row>
    <row r="73" spans="1:3" ht="11.25">
      <c r="A73" s="3" t="str">
        <f>"122/3/3/MASAOKA"</f>
        <v>122/3/3/MASAOKA</v>
      </c>
      <c r="B73" s="3" t="str">
        <f>"3"</f>
        <v>3</v>
      </c>
      <c r="C73" s="3" t="str">
        <f>"補義荘子因 / 林雲銘 ; 2-6 - 6.-- 桝原喜兵衛; 寛政8(1796)年2月跋."</f>
        <v>補義荘子因 / 林雲銘 ; 2-6 - 6.-- 桝原喜兵衛; 寛政8(1796)年2月跋.</v>
      </c>
    </row>
    <row r="74" spans="1:3" ht="11.25">
      <c r="A74" s="3" t="str">
        <f>"122/3/4/MASAOKA"</f>
        <v>122/3/4/MASAOKA</v>
      </c>
      <c r="B74" s="3" t="str">
        <f>"4"</f>
        <v>4</v>
      </c>
      <c r="C74" s="3" t="str">
        <f>"補義荘子因 / 林雲銘 ; 2-6 - 6.-- 桝原喜兵衛; 寛政8(1796)年2月跋."</f>
        <v>補義荘子因 / 林雲銘 ; 2-6 - 6.-- 桝原喜兵衛; 寛政8(1796)年2月跋.</v>
      </c>
    </row>
    <row r="75" spans="1:3" ht="11.25">
      <c r="A75" s="3" t="str">
        <f>"122/3/5/MASAOKA"</f>
        <v>122/3/5/MASAOKA</v>
      </c>
      <c r="B75" s="3" t="str">
        <f>"5"</f>
        <v>5</v>
      </c>
      <c r="C75" s="3" t="str">
        <f>"補義荘子因 / 林雲銘 ; 2-6 - 6.-- 桝原喜兵衛; 寛政8(1796)年2月跋."</f>
        <v>補義荘子因 / 林雲銘 ; 2-6 - 6.-- 桝原喜兵衛; 寛政8(1796)年2月跋.</v>
      </c>
    </row>
    <row r="76" spans="1:3" ht="11.25">
      <c r="A76" s="3" t="str">
        <f>"122/3/6/MASAOKA"</f>
        <v>122/3/6/MASAOKA</v>
      </c>
      <c r="B76" s="3" t="str">
        <f>"6"</f>
        <v>6</v>
      </c>
      <c r="C76" s="3" t="str">
        <f>"補義荘子因 / 林雲銘 ; 2-6 - 6.-- 桝原喜兵衛; 寛政8(1796)年2月跋."</f>
        <v>補義荘子因 / 林雲銘 ; 2-6 - 6.-- 桝原喜兵衛; 寛政8(1796)年2月跋.</v>
      </c>
    </row>
    <row r="77" spans="1:3" ht="11.25">
      <c r="A77" s="3" t="str">
        <f>"122/4//MASAOKA"</f>
        <v>122/4//MASAOKA</v>
      </c>
      <c r="B77" s="3" t="str">
        <f>"全"</f>
        <v>全</v>
      </c>
      <c r="C77" s="3" t="str">
        <f>"易原図略説 / [谷川竜山] ; 全.-- 橋本徳兵衛[ほか3件]; 天保10(1839)年11月刊."</f>
        <v>易原図略説 / [谷川竜山] ; 全.-- 橋本徳兵衛[ほか3件]; 天保10(1839)年11月刊.</v>
      </c>
    </row>
    <row r="78" spans="1:3" ht="11.25">
      <c r="A78" s="3" t="str">
        <f>"123/1//MASAOKA"</f>
        <v>123/1//MASAOKA</v>
      </c>
      <c r="B78" s="3">
        <f>""</f>
      </c>
      <c r="C78" s="3" t="str">
        <f>"忠経 / [著者不明].-- [聚珍堂書坊]; 咸豊1(1851)年序刊."</f>
        <v>忠経 / [著者不明].-- [聚珍堂書坊]; 咸豊1(1851)年序刊.</v>
      </c>
    </row>
    <row r="79" spans="1:3" ht="11.25">
      <c r="A79" s="3" t="str">
        <f>"123/2//MASAOKA"</f>
        <v>123/2//MASAOKA</v>
      </c>
      <c r="B79" s="3">
        <f>""</f>
      </c>
      <c r="C79" s="3" t="str">
        <f>"孝経 / [著者不明].-- [聚珍堂書坊]; [出版年不明]."</f>
        <v>孝経 / [著者不明].-- [聚珍堂書坊]; [出版年不明].</v>
      </c>
    </row>
    <row r="80" spans="1:3" ht="11.25">
      <c r="A80" s="3" t="str">
        <f>"123/3/1/MASAOKA"</f>
        <v>123/3/1/MASAOKA</v>
      </c>
      <c r="B80" s="3" t="str">
        <f>"1-2"</f>
        <v>1-2</v>
      </c>
      <c r="C80" s="3" t="str">
        <f>"孟子 / 朱熹[集註] ; 1-14 - 11-14.-- 上村次良右衛門; 寛文5(1665)年1月刊."</f>
        <v>孟子 / 朱熹[集註] ; 1-14 - 11-14.-- 上村次良右衛門; 寛文5(1665)年1月刊.</v>
      </c>
    </row>
    <row r="81" spans="1:3" ht="11.25">
      <c r="A81" s="3" t="str">
        <f>"123/3/2/MASAOKA"</f>
        <v>123/3/2/MASAOKA</v>
      </c>
      <c r="B81" s="3" t="str">
        <f>"3-6"</f>
        <v>3-6</v>
      </c>
      <c r="C81" s="3" t="str">
        <f>"孟子 / 朱熹[集註] ; 1-14 - 11-14.-- 上村次良右衛門; 寛文5(1665)年1月刊."</f>
        <v>孟子 / 朱熹[集註] ; 1-14 - 11-14.-- 上村次良右衛門; 寛文5(1665)年1月刊.</v>
      </c>
    </row>
    <row r="82" spans="1:3" ht="11.25">
      <c r="A82" s="3" t="str">
        <f>"123/3/3/MASAOKA"</f>
        <v>123/3/3/MASAOKA</v>
      </c>
      <c r="B82" s="3" t="str">
        <f>"7-10"</f>
        <v>7-10</v>
      </c>
      <c r="C82" s="3" t="str">
        <f>"孟子 / 朱熹[集註] ; 1-14 - 11-14.-- 上村次良右衛門; 寛文5(1665)年1月刊."</f>
        <v>孟子 / 朱熹[集註] ; 1-14 - 11-14.-- 上村次良右衛門; 寛文5(1665)年1月刊.</v>
      </c>
    </row>
    <row r="83" spans="1:3" ht="11.25">
      <c r="A83" s="3" t="str">
        <f>"123/3/4/MASAOKA"</f>
        <v>123/3/4/MASAOKA</v>
      </c>
      <c r="B83" s="3" t="str">
        <f>"11-14"</f>
        <v>11-14</v>
      </c>
      <c r="C83" s="3" t="str">
        <f>"孟子 / 朱熹[集註] ; 1-14 - 11-14.-- 上村次良右衛門; 寛文5(1665)年1月刊."</f>
        <v>孟子 / 朱熹[集註] ; 1-14 - 11-14.-- 上村次良右衛門; 寛文5(1665)年1月刊.</v>
      </c>
    </row>
    <row r="84" spans="1:3" ht="11.25">
      <c r="A84" s="3" t="str">
        <f>"123/4/1-1/MASAOKA"</f>
        <v>123/4/1-1/MASAOKA</v>
      </c>
      <c r="B84" s="3" t="str">
        <f>"1上"</f>
        <v>1上</v>
      </c>
      <c r="C84" s="3" t="str">
        <f>"周易本義 / [著者不明] ; 1上,1下,2,3 - 1下.-- 克勤斎余明台; [出版年不明]."</f>
        <v>周易本義 / [著者不明] ; 1上,1下,2,3 - 1下.-- 克勤斎余明台; [出版年不明].</v>
      </c>
    </row>
    <row r="85" spans="1:3" ht="11.25">
      <c r="A85" s="3" t="str">
        <f>"123/4/1-2/MASAOKA"</f>
        <v>123/4/1-2/MASAOKA</v>
      </c>
      <c r="B85" s="3" t="str">
        <f>"1下"</f>
        <v>1下</v>
      </c>
      <c r="C85" s="3" t="str">
        <f>"周易本義 / [著者不明] ; 1上,1下,2,3 - 1下.-- 克勤斎余明台; [出版年不明]."</f>
        <v>周易本義 / [著者不明] ; 1上,1下,2,3 - 1下.-- 克勤斎余明台; [出版年不明].</v>
      </c>
    </row>
    <row r="86" spans="1:3" ht="11.25">
      <c r="A86" s="3" t="str">
        <f>"123/4/2/MASAOKA"</f>
        <v>123/4/2/MASAOKA</v>
      </c>
      <c r="B86" s="3" t="str">
        <f>"2"</f>
        <v>2</v>
      </c>
      <c r="C86" s="3" t="str">
        <f>"周易本義 / [著者不明] ; 1上,1下,2,3 - 1下.-- 克勤斎余明台; [出版年不明]."</f>
        <v>周易本義 / [著者不明] ; 1上,1下,2,3 - 1下.-- 克勤斎余明台; [出版年不明].</v>
      </c>
    </row>
    <row r="87" spans="1:3" ht="11.25">
      <c r="A87" s="3" t="str">
        <f>"123/4/3/MASAOKA"</f>
        <v>123/4/3/MASAOKA</v>
      </c>
      <c r="B87" s="3" t="str">
        <f>"3"</f>
        <v>3</v>
      </c>
      <c r="C87" s="3" t="str">
        <f>"周易本義 / [著者不明] ; 1上,1下,2,3 - 1下.-- 克勤斎余明台; [出版年不明]."</f>
        <v>周易本義 / [著者不明] ; 1上,1下,2,3 - 1下.-- 克勤斎余明台; [出版年不明].</v>
      </c>
    </row>
    <row r="88" spans="1:3" ht="11.25">
      <c r="A88" s="3" t="str">
        <f>"123/5/1/MASAOKA"</f>
        <v>123/5/1/MASAOKA</v>
      </c>
      <c r="B88" s="3" t="str">
        <f>"乾"</f>
        <v>乾</v>
      </c>
      <c r="C88" s="3" t="str">
        <f>"改正音訓易経 / 後藤芝山点 ; 乾・坤, 乾, 坤.-- 北村四郎兵衛; 文化10(1813)年1月刊."</f>
        <v>改正音訓易経 / 後藤芝山点 ; 乾・坤, 乾, 坤.-- 北村四郎兵衛; 文化10(1813)年1月刊.</v>
      </c>
    </row>
    <row r="89" spans="1:3" ht="11.25">
      <c r="A89" s="3" t="str">
        <f>"123/5/2/MASAOKA"</f>
        <v>123/5/2/MASAOKA</v>
      </c>
      <c r="B89" s="3" t="str">
        <f>"坤"</f>
        <v>坤</v>
      </c>
      <c r="C89" s="3" t="str">
        <f>"改正音訓易経 / 後藤芝山点 ; 乾・坤, 乾, 坤.-- 北村四郎兵衛; 文化10(1813)年1月刊."</f>
        <v>改正音訓易経 / 後藤芝山点 ; 乾・坤, 乾, 坤.-- 北村四郎兵衛; 文化10(1813)年1月刊.</v>
      </c>
    </row>
    <row r="90" spans="1:3" ht="11.25">
      <c r="A90" s="3" t="str">
        <f>"123/6/1/MASAOKA"</f>
        <v>123/6/1/MASAOKA</v>
      </c>
      <c r="B90" s="3" t="str">
        <f>"上"</f>
        <v>上</v>
      </c>
      <c r="C90" s="3" t="str">
        <f>"改正音訓書経 / 後藤芝山点 ; 上・下, 上, 下.-- 北村四郎兵衛; 文化10(1813)年1月刊."</f>
        <v>改正音訓書経 / 後藤芝山点 ; 上・下, 上, 下.-- 北村四郎兵衛; 文化10(1813)年1月刊.</v>
      </c>
    </row>
    <row r="91" spans="1:3" ht="11.25">
      <c r="A91" s="3" t="str">
        <f>"123/6/2/MASAOKA"</f>
        <v>123/6/2/MASAOKA</v>
      </c>
      <c r="B91" s="3" t="str">
        <f>"下"</f>
        <v>下</v>
      </c>
      <c r="C91" s="3" t="str">
        <f>"改正音訓書経 / 後藤芝山点 ; 上・下, 上, 下.-- 北村四郎兵衛; 文化10(1813)年1月刊."</f>
        <v>改正音訓書経 / 後藤芝山点 ; 上・下, 上, 下.-- 北村四郎兵衛; 文化10(1813)年1月刊.</v>
      </c>
    </row>
    <row r="92" spans="1:3" ht="11.25">
      <c r="A92" s="3" t="str">
        <f>"123/7/1/MASAOKA"</f>
        <v>123/7/1/MASAOKA</v>
      </c>
      <c r="B92" s="3" t="str">
        <f>"1"</f>
        <v>1</v>
      </c>
      <c r="C92" s="3" t="str">
        <f aca="true" t="shared" si="4" ref="C92:C97">"新刻頭書書経集註 / 蔡沈集伝 昌易点 ; 1-6 - 6.-- 今村八兵衛; 享和1(1801)年9月再版."</f>
        <v>新刻頭書書経集註 / 蔡沈集伝 昌易点 ; 1-6 - 6.-- 今村八兵衛; 享和1(1801)年9月再版.</v>
      </c>
    </row>
    <row r="93" spans="1:3" ht="11.25">
      <c r="A93" s="3" t="str">
        <f>"123/7/2/MASAOKA"</f>
        <v>123/7/2/MASAOKA</v>
      </c>
      <c r="B93" s="3" t="str">
        <f>"2"</f>
        <v>2</v>
      </c>
      <c r="C93" s="3" t="str">
        <f t="shared" si="4"/>
        <v>新刻頭書書経集註 / 蔡沈集伝 昌易点 ; 1-6 - 6.-- 今村八兵衛; 享和1(1801)年9月再版.</v>
      </c>
    </row>
    <row r="94" spans="1:3" ht="11.25">
      <c r="A94" s="3" t="str">
        <f>"123/7/3/MASAOKA"</f>
        <v>123/7/3/MASAOKA</v>
      </c>
      <c r="B94" s="3" t="str">
        <f>"3"</f>
        <v>3</v>
      </c>
      <c r="C94" s="3" t="str">
        <f t="shared" si="4"/>
        <v>新刻頭書書経集註 / 蔡沈集伝 昌易点 ; 1-6 - 6.-- 今村八兵衛; 享和1(1801)年9月再版.</v>
      </c>
    </row>
    <row r="95" spans="1:3" ht="11.25">
      <c r="A95" s="3" t="str">
        <f>"123/7/4/MASAOKA"</f>
        <v>123/7/4/MASAOKA</v>
      </c>
      <c r="B95" s="3" t="str">
        <f>"4"</f>
        <v>4</v>
      </c>
      <c r="C95" s="3" t="str">
        <f t="shared" si="4"/>
        <v>新刻頭書書経集註 / 蔡沈集伝 昌易点 ; 1-6 - 6.-- 今村八兵衛; 享和1(1801)年9月再版.</v>
      </c>
    </row>
    <row r="96" spans="1:3" ht="11.25">
      <c r="A96" s="3" t="str">
        <f>"123/7/5/MASAOKA"</f>
        <v>123/7/5/MASAOKA</v>
      </c>
      <c r="B96" s="3" t="str">
        <f>"5"</f>
        <v>5</v>
      </c>
      <c r="C96" s="3" t="str">
        <f t="shared" si="4"/>
        <v>新刻頭書書経集註 / 蔡沈集伝 昌易点 ; 1-6 - 6.-- 今村八兵衛; 享和1(1801)年9月再版.</v>
      </c>
    </row>
    <row r="97" spans="1:3" ht="11.25">
      <c r="A97" s="3" t="str">
        <f>"123/7/6/MASAOKA"</f>
        <v>123/7/6/MASAOKA</v>
      </c>
      <c r="B97" s="3" t="str">
        <f>"6"</f>
        <v>6</v>
      </c>
      <c r="C97" s="3" t="str">
        <f t="shared" si="4"/>
        <v>新刻頭書書経集註 / 蔡沈集伝 昌易点 ; 1-6 - 6.-- 今村八兵衛; 享和1(1801)年9月再版.</v>
      </c>
    </row>
    <row r="98" spans="1:3" ht="11.25">
      <c r="A98" s="3" t="str">
        <f>"123/8/1/MASAOKA"</f>
        <v>123/8/1/MASAOKA</v>
      </c>
      <c r="B98" s="3" t="str">
        <f>"上"</f>
        <v>上</v>
      </c>
      <c r="C98" s="3" t="str">
        <f>"改正音訓詩経 / 後藤芝山点 ; 上・下, 上, 下.-- 北村四郎兵衛; 文化10(1813)年1月刊."</f>
        <v>改正音訓詩経 / 後藤芝山点 ; 上・下, 上, 下.-- 北村四郎兵衛; 文化10(1813)年1月刊.</v>
      </c>
    </row>
    <row r="99" spans="1:3" ht="11.25">
      <c r="A99" s="3" t="str">
        <f>"123/8/2/MASAOKA"</f>
        <v>123/8/2/MASAOKA</v>
      </c>
      <c r="B99" s="3" t="str">
        <f>"下"</f>
        <v>下</v>
      </c>
      <c r="C99" s="3" t="str">
        <f>"改正音訓詩経 / 後藤芝山点 ; 上・下, 上, 下.-- 北村四郎兵衛; 文化10(1813)年1月刊."</f>
        <v>改正音訓詩経 / 後藤芝山点 ; 上・下, 上, 下.-- 北村四郎兵衛; 文化10(1813)年1月刊.</v>
      </c>
    </row>
    <row r="100" spans="1:3" ht="11.25">
      <c r="A100" s="3" t="str">
        <f>"123/9/1/MASAOKA"</f>
        <v>123/9/1/MASAOKA</v>
      </c>
      <c r="B100" s="3" t="str">
        <f>"元"</f>
        <v>元</v>
      </c>
      <c r="C100" s="3" t="str">
        <f>"改正音訓礼記 / 後藤芝山点 ; 元・享・利・貞 - 利.-- 北村四郎兵衛; 文化10(1813)年1月刊."</f>
        <v>改正音訓礼記 / 後藤芝山点 ; 元・享・利・貞 - 利.-- 北村四郎兵衛; 文化10(1813)年1月刊.</v>
      </c>
    </row>
    <row r="101" spans="1:3" ht="11.25">
      <c r="A101" s="3" t="str">
        <f>"123/9/2/MASAOKA"</f>
        <v>123/9/2/MASAOKA</v>
      </c>
      <c r="B101" s="3" t="str">
        <f>"享"</f>
        <v>享</v>
      </c>
      <c r="C101" s="3" t="str">
        <f>"改正音訓礼記 / 後藤芝山点 ; 元・享・利・貞 - 利.-- 北村四郎兵衛; 文化10(1813)年1月刊."</f>
        <v>改正音訓礼記 / 後藤芝山点 ; 元・享・利・貞 - 利.-- 北村四郎兵衛; 文化10(1813)年1月刊.</v>
      </c>
    </row>
    <row r="102" spans="1:3" ht="11.25">
      <c r="A102" s="3" t="str">
        <f>"123/9/3/MASAOKA"</f>
        <v>123/9/3/MASAOKA</v>
      </c>
      <c r="B102" s="3" t="str">
        <f>"利"</f>
        <v>利</v>
      </c>
      <c r="C102" s="3" t="str">
        <f>"改正音訓礼記 / 後藤芝山点 ; 元・享・利・貞 - 利.-- 北村四郎兵衛; 文化10(1813)年1月刊."</f>
        <v>改正音訓礼記 / 後藤芝山点 ; 元・享・利・貞 - 利.-- 北村四郎兵衛; 文化10(1813)年1月刊.</v>
      </c>
    </row>
    <row r="103" spans="1:3" ht="11.25">
      <c r="A103" s="3" t="str">
        <f>"123/9/4/MASAOKA"</f>
        <v>123/9/4/MASAOKA</v>
      </c>
      <c r="B103" s="3" t="str">
        <f>"貞"</f>
        <v>貞</v>
      </c>
      <c r="C103" s="3" t="str">
        <f>"改正音訓礼記 / 後藤芝山点 ; 元・享・利・貞 - 利.-- 北村四郎兵衛; 文化10(1813)年1月刊."</f>
        <v>改正音訓礼記 / 後藤芝山点 ; 元・享・利・貞 - 利.-- 北村四郎兵衛; 文化10(1813)年1月刊.</v>
      </c>
    </row>
    <row r="104" spans="1:3" ht="11.25">
      <c r="A104" s="3" t="str">
        <f>"123/10/1/MASAOKA"</f>
        <v>123/10/1/MASAOKA</v>
      </c>
      <c r="B104" s="3" t="str">
        <f>"巻1"</f>
        <v>巻1</v>
      </c>
      <c r="C104" s="3" t="str">
        <f>"春秋左伝杜林備旨 / 鄒梧岡纂輯 ; 巻1-12 - 巻5.-- [出版者不明]; [出版年不明]."</f>
        <v>春秋左伝杜林備旨 / 鄒梧岡纂輯 ; 巻1-12 - 巻5.-- [出版者不明]; [出版年不明].</v>
      </c>
    </row>
    <row r="105" spans="1:3" ht="11.25">
      <c r="A105" s="3" t="str">
        <f>"123/10/2/MASAOKA"</f>
        <v>123/10/2/MASAOKA</v>
      </c>
      <c r="B105" s="3" t="str">
        <f>"巻2"</f>
        <v>巻2</v>
      </c>
      <c r="C105" s="3" t="str">
        <f>"春秋左伝杜林備旨 / 鄒梧岡纂輯 ; 巻1-12 - 巻5.-- [出版者不明]; [出版年不明]."</f>
        <v>春秋左伝杜林備旨 / 鄒梧岡纂輯 ; 巻1-12 - 巻5.-- [出版者不明]; [出版年不明].</v>
      </c>
    </row>
    <row r="106" spans="1:3" ht="11.25">
      <c r="A106" s="3" t="str">
        <f>"123/10/3/MASAOKA"</f>
        <v>123/10/3/MASAOKA</v>
      </c>
      <c r="B106" s="3" t="str">
        <f>"巻3"</f>
        <v>巻3</v>
      </c>
      <c r="C106" s="3" t="str">
        <f>"春秋左伝杜林備旨 / 鄒梧岡纂輯 ; 巻1-12 - 巻5.-- [出版者不明]; [出版年不明]."</f>
        <v>春秋左伝杜林備旨 / 鄒梧岡纂輯 ; 巻1-12 - 巻5.-- [出版者不明]; [出版年不明].</v>
      </c>
    </row>
    <row r="107" spans="1:3" ht="11.25">
      <c r="A107" s="3" t="str">
        <f>"123/10/4/MASAOKA"</f>
        <v>123/10/4/MASAOKA</v>
      </c>
      <c r="B107" s="3" t="str">
        <f>"巻4"</f>
        <v>巻4</v>
      </c>
      <c r="C107" s="3" t="str">
        <f>"春秋左伝杜林備旨 / 鄒梧岡纂輯 ; 巻1-12 - 巻5.-- [出版者不明]; [出版年不明]."</f>
        <v>春秋左伝杜林備旨 / 鄒梧岡纂輯 ; 巻1-12 - 巻5.-- [出版者不明]; [出版年不明].</v>
      </c>
    </row>
    <row r="108" spans="1:3" ht="11.25">
      <c r="A108" s="3" t="str">
        <f>"123/10/5/MASAOKA"</f>
        <v>123/10/5/MASAOKA</v>
      </c>
      <c r="B108" s="3" t="str">
        <f>"巻5"</f>
        <v>巻5</v>
      </c>
      <c r="C108" s="3" t="str">
        <f>"春秋左伝杜林備旨 / 鄒梧岡纂輯 ; 巻1-12 - 巻5.-- [出版者不明]; [出版年不明]."</f>
        <v>春秋左伝杜林備旨 / 鄒梧岡纂輯 ; 巻1-12 - 巻5.-- [出版者不明]; [出版年不明].</v>
      </c>
    </row>
    <row r="109" spans="1:3" ht="11.25">
      <c r="A109" s="3" t="str">
        <f>"123/11//MASAOKA"</f>
        <v>123/11//MASAOKA</v>
      </c>
      <c r="B109" s="3">
        <f>""</f>
      </c>
      <c r="C109" s="3" t="str">
        <f>"標註左伝蒙求 / 呉可竜著 松本豊多註.-- 三省堂; 明治27(1894)年3月."</f>
        <v>標註左伝蒙求 / 呉可竜著 松本豊多註.-- 三省堂; 明治27(1894)年3月.</v>
      </c>
    </row>
    <row r="110" spans="1:3" ht="11.25">
      <c r="A110" s="3" t="str">
        <f>"123/12/1/MASAOKA"</f>
        <v>123/12/1/MASAOKA</v>
      </c>
      <c r="B110" s="3" t="str">
        <f>"1"</f>
        <v>1</v>
      </c>
      <c r="C110" s="3" t="str">
        <f aca="true" t="shared" si="5" ref="C110:C115">"四書集註 / 朱熹集註 道春点校正 ; 1-6 - 6.-- 河内屋喜兵衛[ほか2軒]; 天保8(1837)年曙春再刻."</f>
        <v>四書集註 / 朱熹集註 道春点校正 ; 1-6 - 6.-- 河内屋喜兵衛[ほか2軒]; 天保8(1837)年曙春再刻.</v>
      </c>
    </row>
    <row r="111" spans="1:3" ht="11.25">
      <c r="A111" s="3" t="str">
        <f>"123/12/2/MASAOKA"</f>
        <v>123/12/2/MASAOKA</v>
      </c>
      <c r="B111" s="3" t="str">
        <f>"2"</f>
        <v>2</v>
      </c>
      <c r="C111" s="3" t="str">
        <f t="shared" si="5"/>
        <v>四書集註 / 朱熹集註 道春点校正 ; 1-6 - 6.-- 河内屋喜兵衛[ほか2軒]; 天保8(1837)年曙春再刻.</v>
      </c>
    </row>
    <row r="112" spans="1:3" ht="11.25">
      <c r="A112" s="3" t="str">
        <f>"123/12/3/MASAOKA"</f>
        <v>123/12/3/MASAOKA</v>
      </c>
      <c r="B112" s="3" t="str">
        <f>"3"</f>
        <v>3</v>
      </c>
      <c r="C112" s="3" t="str">
        <f t="shared" si="5"/>
        <v>四書集註 / 朱熹集註 道春点校正 ; 1-6 - 6.-- 河内屋喜兵衛[ほか2軒]; 天保8(1837)年曙春再刻.</v>
      </c>
    </row>
    <row r="113" spans="1:3" ht="11.25">
      <c r="A113" s="3" t="str">
        <f>"123/12/4/MASAOKA"</f>
        <v>123/12/4/MASAOKA</v>
      </c>
      <c r="B113" s="3" t="str">
        <f>"4"</f>
        <v>4</v>
      </c>
      <c r="C113" s="3" t="str">
        <f t="shared" si="5"/>
        <v>四書集註 / 朱熹集註 道春点校正 ; 1-6 - 6.-- 河内屋喜兵衛[ほか2軒]; 天保8(1837)年曙春再刻.</v>
      </c>
    </row>
    <row r="114" spans="1:3" ht="11.25">
      <c r="A114" s="3" t="str">
        <f>"123/12/5/MASAOKA"</f>
        <v>123/12/5/MASAOKA</v>
      </c>
      <c r="B114" s="3" t="str">
        <f>"5"</f>
        <v>5</v>
      </c>
      <c r="C114" s="3" t="str">
        <f t="shared" si="5"/>
        <v>四書集註 / 朱熹集註 道春点校正 ; 1-6 - 6.-- 河内屋喜兵衛[ほか2軒]; 天保8(1837)年曙春再刻.</v>
      </c>
    </row>
    <row r="115" spans="1:3" ht="11.25">
      <c r="A115" s="3" t="str">
        <f>"123/12/6/MASAOKA"</f>
        <v>123/12/6/MASAOKA</v>
      </c>
      <c r="B115" s="3" t="str">
        <f>"6"</f>
        <v>6</v>
      </c>
      <c r="C115" s="3" t="str">
        <f t="shared" si="5"/>
        <v>四書集註 / 朱熹集註 道春点校正 ; 1-6 - 6.-- 河内屋喜兵衛[ほか2軒]; 天保8(1837)年曙春再刻.</v>
      </c>
    </row>
    <row r="116" spans="1:3" ht="11.25">
      <c r="A116" s="3" t="str">
        <f>"123/13//MASAOKA"</f>
        <v>123/13//MASAOKA</v>
      </c>
      <c r="B116" s="3">
        <f>""</f>
      </c>
      <c r="C116" s="3" t="str">
        <f>"改正音訓春秋 / 後藤芝山点.-- [出版者不明]; [出版年不明]."</f>
        <v>改正音訓春秋 / 後藤芝山点.-- [出版者不明]; [出版年不明].</v>
      </c>
    </row>
    <row r="117" spans="1:3" ht="11.25">
      <c r="A117" s="3" t="str">
        <f>"123/14//MASAOKA"</f>
        <v>123/14//MASAOKA</v>
      </c>
      <c r="B117" s="3">
        <f>""</f>
      </c>
      <c r="C117" s="3" t="str">
        <f>"天保再刻大学 / 朱熹[著] 道春点校正 ; 全.-- 秋田屋太右衛門[ほか5軒]; 天保13(1842)年初春刊."</f>
        <v>天保再刻大学 / 朱熹[著] 道春点校正 ; 全.-- 秋田屋太右衛門[ほか5軒]; 天保13(1842)年初春刊.</v>
      </c>
    </row>
    <row r="118" spans="1:3" ht="11.25">
      <c r="A118" s="3" t="str">
        <f>"123/15//MASAOKA"</f>
        <v>123/15//MASAOKA</v>
      </c>
      <c r="B118" s="3">
        <f>""</f>
      </c>
      <c r="C118" s="3" t="str">
        <f>"中庸章句 / 朱熹集註.-- [出版者不明]; [出版年不明]."</f>
        <v>中庸章句 / 朱熹集註.-- [出版者不明]; [出版年不明].</v>
      </c>
    </row>
    <row r="119" spans="1:3" ht="11.25">
      <c r="A119" s="3" t="str">
        <f>"123/16/1/MASAOKA"</f>
        <v>123/16/1/MASAOKA</v>
      </c>
      <c r="B119" s="3" t="str">
        <f>"1-2巻"</f>
        <v>1-2巻</v>
      </c>
      <c r="C119" s="3" t="str">
        <f>"論語 / 朱熹集註 ; 1-10巻 - 8-10巻.-- [出版者不明]; [出版年不明]."</f>
        <v>論語 / 朱熹集註 ; 1-10巻 - 8-10巻.-- [出版者不明]; [出版年不明].</v>
      </c>
    </row>
    <row r="120" spans="1:3" ht="11.25">
      <c r="A120" s="3" t="str">
        <f>"123/16/2/MASAOKA"</f>
        <v>123/16/2/MASAOKA</v>
      </c>
      <c r="B120" s="3" t="str">
        <f>"3-5巻"</f>
        <v>3-5巻</v>
      </c>
      <c r="C120" s="3" t="str">
        <f>"論語 / 朱熹集註 ; 1-10巻 - 8-10巻.-- [出版者不明]; [出版年不明]."</f>
        <v>論語 / 朱熹集註 ; 1-10巻 - 8-10巻.-- [出版者不明]; [出版年不明].</v>
      </c>
    </row>
    <row r="121" spans="1:3" ht="11.25">
      <c r="A121" s="3" t="str">
        <f>"123/16/3/MASAOKA"</f>
        <v>123/16/3/MASAOKA</v>
      </c>
      <c r="B121" s="3" t="str">
        <f>"6-7巻"</f>
        <v>6-7巻</v>
      </c>
      <c r="C121" s="3" t="str">
        <f>"論語 / 朱熹集註 ; 1-10巻 - 8-10巻.-- [出版者不明]; [出版年不明]."</f>
        <v>論語 / 朱熹集註 ; 1-10巻 - 8-10巻.-- [出版者不明]; [出版年不明].</v>
      </c>
    </row>
    <row r="122" spans="1:3" ht="11.25">
      <c r="A122" s="3" t="str">
        <f>"123/16/4/MASAOKA"</f>
        <v>123/16/4/MASAOKA</v>
      </c>
      <c r="B122" s="3" t="str">
        <f>"8-10巻"</f>
        <v>8-10巻</v>
      </c>
      <c r="C122" s="3" t="str">
        <f>"論語 / 朱熹集註 ; 1-10巻 - 8-10巻.-- [出版者不明]; [出版年不明]."</f>
        <v>論語 / 朱熹集註 ; 1-10巻 - 8-10巻.-- [出版者不明]; [出版年不明].</v>
      </c>
    </row>
    <row r="123" spans="1:3" ht="11.25">
      <c r="A123" s="3" t="str">
        <f>"123/17//MASAOKA"</f>
        <v>123/17//MASAOKA</v>
      </c>
      <c r="B123" s="3">
        <f>""</f>
      </c>
      <c r="C123" s="3" t="str">
        <f>"吏治輯要 / [著者不明].-- 聚珍堂書坊; [出版年不明]."</f>
        <v>吏治輯要 / [著者不明].-- 聚珍堂書坊; [出版年不明].</v>
      </c>
    </row>
    <row r="124" spans="1:3" ht="11.25">
      <c r="A124" s="3" t="str">
        <f>"123/18//MASAOKA"</f>
        <v>123/18//MASAOKA</v>
      </c>
      <c r="B124" s="3">
        <f>""</f>
      </c>
      <c r="C124" s="3" t="str">
        <f>"清文接字 / [著者不明].-- 聚珍堂書坊; 同治5(1866)年暮春機既望跋刊."</f>
        <v>清文接字 / [著者不明].-- 聚珍堂書坊; 同治5(1866)年暮春機既望跋刊.</v>
      </c>
    </row>
    <row r="125" spans="1:3" ht="11.25">
      <c r="A125" s="3" t="str">
        <f>"123/19//MASAOKA"</f>
        <v>123/19//MASAOKA</v>
      </c>
      <c r="B125" s="3">
        <f>""</f>
      </c>
      <c r="C125" s="3" t="str">
        <f>"射的説 / [著者不明].-- [聚珍堂書坊]; [出版年不明]."</f>
        <v>射的説 / [著者不明].-- [聚珍堂書坊]; [出版年不明].</v>
      </c>
    </row>
    <row r="126" spans="1:3" ht="11.25">
      <c r="A126" s="3" t="str">
        <f>"123/20/1/MASAOKA"</f>
        <v>123/20/1/MASAOKA</v>
      </c>
      <c r="B126" s="3" t="str">
        <f>"巻1"</f>
        <v>巻1</v>
      </c>
      <c r="C126" s="3" t="str">
        <f aca="true" t="shared" si="6" ref="C126:C133">"新刻頭書詩経集註 / 松永昌易校 鈴木温再校 ; 巻1-8 - 巻8.-- 今村八兵衛; 寛政3(1791)年5月."</f>
        <v>新刻頭書詩経集註 / 松永昌易校 鈴木温再校 ; 巻1-8 - 巻8.-- 今村八兵衛; 寛政3(1791)年5月.</v>
      </c>
    </row>
    <row r="127" spans="1:3" ht="11.25">
      <c r="A127" s="3" t="str">
        <f>"123/20/2/MASAOKA"</f>
        <v>123/20/2/MASAOKA</v>
      </c>
      <c r="B127" s="3" t="str">
        <f>"巻2"</f>
        <v>巻2</v>
      </c>
      <c r="C127" s="3" t="str">
        <f t="shared" si="6"/>
        <v>新刻頭書詩経集註 / 松永昌易校 鈴木温再校 ; 巻1-8 - 巻8.-- 今村八兵衛; 寛政3(1791)年5月.</v>
      </c>
    </row>
    <row r="128" spans="1:3" ht="11.25">
      <c r="A128" s="3" t="str">
        <f>"123/20/3/MASAOKA"</f>
        <v>123/20/3/MASAOKA</v>
      </c>
      <c r="B128" s="3" t="str">
        <f>"巻3"</f>
        <v>巻3</v>
      </c>
      <c r="C128" s="3" t="str">
        <f t="shared" si="6"/>
        <v>新刻頭書詩経集註 / 松永昌易校 鈴木温再校 ; 巻1-8 - 巻8.-- 今村八兵衛; 寛政3(1791)年5月.</v>
      </c>
    </row>
    <row r="129" spans="1:3" ht="11.25">
      <c r="A129" s="3" t="str">
        <f>"123/20/4/MASAOKA"</f>
        <v>123/20/4/MASAOKA</v>
      </c>
      <c r="B129" s="3" t="str">
        <f>"巻4"</f>
        <v>巻4</v>
      </c>
      <c r="C129" s="3" t="str">
        <f t="shared" si="6"/>
        <v>新刻頭書詩経集註 / 松永昌易校 鈴木温再校 ; 巻1-8 - 巻8.-- 今村八兵衛; 寛政3(1791)年5月.</v>
      </c>
    </row>
    <row r="130" spans="1:3" ht="11.25">
      <c r="A130" s="3" t="str">
        <f>"123/20/5/MASAOKA"</f>
        <v>123/20/5/MASAOKA</v>
      </c>
      <c r="B130" s="3" t="str">
        <f>"巻5"</f>
        <v>巻5</v>
      </c>
      <c r="C130" s="3" t="str">
        <f t="shared" si="6"/>
        <v>新刻頭書詩経集註 / 松永昌易校 鈴木温再校 ; 巻1-8 - 巻8.-- 今村八兵衛; 寛政3(1791)年5月.</v>
      </c>
    </row>
    <row r="131" spans="1:3" ht="11.25">
      <c r="A131" s="3" t="str">
        <f>"123/20/6/MASAOKA"</f>
        <v>123/20/6/MASAOKA</v>
      </c>
      <c r="B131" s="3" t="str">
        <f>"巻6"</f>
        <v>巻6</v>
      </c>
      <c r="C131" s="3" t="str">
        <f t="shared" si="6"/>
        <v>新刻頭書詩経集註 / 松永昌易校 鈴木温再校 ; 巻1-8 - 巻8.-- 今村八兵衛; 寛政3(1791)年5月.</v>
      </c>
    </row>
    <row r="132" spans="1:3" ht="11.25">
      <c r="A132" s="3" t="str">
        <f>"123/20/7/MASAOKA"</f>
        <v>123/20/7/MASAOKA</v>
      </c>
      <c r="B132" s="3" t="str">
        <f>"巻7"</f>
        <v>巻7</v>
      </c>
      <c r="C132" s="3" t="str">
        <f t="shared" si="6"/>
        <v>新刻頭書詩経集註 / 松永昌易校 鈴木温再校 ; 巻1-8 - 巻8.-- 今村八兵衛; 寛政3(1791)年5月.</v>
      </c>
    </row>
    <row r="133" spans="1:3" ht="11.25">
      <c r="A133" s="3" t="str">
        <f>"123/20/8/MASAOKA"</f>
        <v>123/20/8/MASAOKA</v>
      </c>
      <c r="B133" s="3" t="str">
        <f>"巻8"</f>
        <v>巻8</v>
      </c>
      <c r="C133" s="3" t="str">
        <f t="shared" si="6"/>
        <v>新刻頭書詩経集註 / 松永昌易校 鈴木温再校 ; 巻1-8 - 巻8.-- 今村八兵衛; 寛政3(1791)年5月.</v>
      </c>
    </row>
    <row r="134" spans="1:3" ht="11.25">
      <c r="A134" s="3" t="str">
        <f>"123/21/2/MASAOKA"</f>
        <v>123/21/2/MASAOKA</v>
      </c>
      <c r="B134" s="3" t="str">
        <f>"地"</f>
        <v>地</v>
      </c>
      <c r="C134" s="3" t="str">
        <f>"東莱博議 / 呂祖謙撰 ; 地・玄・黄 - 地.-- 柳原喜兵衛(有隣館); 寛政11(1799)年10月刊."</f>
        <v>東莱博議 / 呂祖謙撰 ; 地・玄・黄 - 地.-- 柳原喜兵衛(有隣館); 寛政11(1799)年10月刊.</v>
      </c>
    </row>
    <row r="135" spans="1:3" ht="11.25">
      <c r="A135" s="3" t="str">
        <f>"123/21/3/MASAOKA"</f>
        <v>123/21/3/MASAOKA</v>
      </c>
      <c r="B135" s="3" t="str">
        <f>"玄"</f>
        <v>玄</v>
      </c>
      <c r="C135" s="3" t="str">
        <f>"東莱博議 / 呂祖謙撰 ; 地・玄・黄 - 地.-- 柳原喜兵衛(有隣館); 寛政11(1799)年10月刊."</f>
        <v>東莱博議 / 呂祖謙撰 ; 地・玄・黄 - 地.-- 柳原喜兵衛(有隣館); 寛政11(1799)年10月刊.</v>
      </c>
    </row>
    <row r="136" spans="1:3" ht="11.25">
      <c r="A136" s="3" t="str">
        <f>"123/21/4/MASAOKA"</f>
        <v>123/21/4/MASAOKA</v>
      </c>
      <c r="B136" s="3" t="str">
        <f>"黄"</f>
        <v>黄</v>
      </c>
      <c r="C136" s="3" t="str">
        <f>"東莱博議 / 呂祖謙撰 ; 地・玄・黄 - 地.-- 柳原喜兵衛(有隣館); 寛政11(1799)年10月刊."</f>
        <v>東莱博議 / 呂祖謙撰 ; 地・玄・黄 - 地.-- 柳原喜兵衛(有隣館); 寛政11(1799)年10月刊.</v>
      </c>
    </row>
    <row r="137" spans="1:3" ht="11.25">
      <c r="A137" s="3" t="str">
        <f>"123/22/1/MASAOKA"</f>
        <v>123/22/1/MASAOKA</v>
      </c>
      <c r="B137" s="3" t="str">
        <f>"内篇"</f>
        <v>内篇</v>
      </c>
      <c r="C137" s="3" t="str">
        <f>"合璧摘要小学本注 / 山崎点 ; 内篇・外篇, 外篇, 内篇.-- 三田屋喜八[ほか11軒]; 天保14(1843)年11月跋."</f>
        <v>合璧摘要小学本注 / 山崎点 ; 内篇・外篇, 外篇, 内篇.-- 三田屋喜八[ほか11軒]; 天保14(1843)年11月跋.</v>
      </c>
    </row>
    <row r="138" spans="1:3" ht="11.25">
      <c r="A138" s="3" t="str">
        <f>"123/22/2/MASAOKA"</f>
        <v>123/22/2/MASAOKA</v>
      </c>
      <c r="B138" s="3" t="str">
        <f>"外篇"</f>
        <v>外篇</v>
      </c>
      <c r="C138" s="3" t="str">
        <f>"合璧摘要小学本注 / 山崎点 ; 内篇・外篇, 外篇, 内篇.-- 三田屋喜八[ほか11軒]; 天保14(1843)年11月跋."</f>
        <v>合璧摘要小学本注 / 山崎点 ; 内篇・外篇, 外篇, 内篇.-- 三田屋喜八[ほか11軒]; 天保14(1843)年11月跋.</v>
      </c>
    </row>
    <row r="139" spans="1:3" ht="11.25">
      <c r="A139" s="3" t="str">
        <f>"124/1//MASAOKA"</f>
        <v>124/1//MASAOKA</v>
      </c>
      <c r="B139" s="3" t="str">
        <f>"全"</f>
        <v>全</v>
      </c>
      <c r="C139" s="3" t="str">
        <f>"儒釈筆陣 / 独庵玄光,田中止邱 ; 全.-- 林伝左衛門; 天和2(1862)年2月刊."</f>
        <v>儒釈筆陣 / 独庵玄光,田中止邱 ; 全.-- 林伝左衛門; 天和2(1862)年2月刊.</v>
      </c>
    </row>
    <row r="140" spans="1:3" ht="11.25">
      <c r="A140" s="3" t="str">
        <f>"124/2//MASAOKA"</f>
        <v>124/2//MASAOKA</v>
      </c>
      <c r="B140" s="3">
        <f>""</f>
      </c>
      <c r="C140" s="3" t="str">
        <f>"儒仙画賛 / [著者不明].-- [出版者不明]; [出版年不明]."</f>
        <v>儒仙画賛 / [著者不明].-- [出版者不明]; [出版年不明].</v>
      </c>
    </row>
    <row r="141" spans="1:3" ht="11.25">
      <c r="A141" s="3" t="str">
        <f>"124/3/1/MASAOKA"</f>
        <v>124/3/1/MASAOKA</v>
      </c>
      <c r="B141" s="3" t="str">
        <f>"1-2"</f>
        <v>1-2</v>
      </c>
      <c r="C141" s="3" t="str">
        <f aca="true" t="shared" si="7" ref="C141:C150">"荀子増注 / 久保愛増注 ; 1-20 - 19-20.-- 水玉堂; 文政8(1825)年刊."</f>
        <v>荀子増注 / 久保愛増注 ; 1-20 - 19-20.-- 水玉堂; 文政8(1825)年刊.</v>
      </c>
    </row>
    <row r="142" spans="1:3" ht="11.25">
      <c r="A142" s="3" t="str">
        <f>"124/3/2/MASAOKA"</f>
        <v>124/3/2/MASAOKA</v>
      </c>
      <c r="B142" s="3" t="str">
        <f>"3-4"</f>
        <v>3-4</v>
      </c>
      <c r="C142" s="3" t="str">
        <f t="shared" si="7"/>
        <v>荀子増注 / 久保愛増注 ; 1-20 - 19-20.-- 水玉堂; 文政8(1825)年刊.</v>
      </c>
    </row>
    <row r="143" spans="1:3" ht="11.25">
      <c r="A143" s="3" t="str">
        <f>"124/3/3/MASAOKA"</f>
        <v>124/3/3/MASAOKA</v>
      </c>
      <c r="B143" s="3" t="str">
        <f>"5-6"</f>
        <v>5-6</v>
      </c>
      <c r="C143" s="3" t="str">
        <f t="shared" si="7"/>
        <v>荀子増注 / 久保愛増注 ; 1-20 - 19-20.-- 水玉堂; 文政8(1825)年刊.</v>
      </c>
    </row>
    <row r="144" spans="1:3" ht="11.25">
      <c r="A144" s="3" t="str">
        <f>"124/3/4/MASAOKA"</f>
        <v>124/3/4/MASAOKA</v>
      </c>
      <c r="B144" s="3" t="str">
        <f>"7-8"</f>
        <v>7-8</v>
      </c>
      <c r="C144" s="3" t="str">
        <f t="shared" si="7"/>
        <v>荀子増注 / 久保愛増注 ; 1-20 - 19-20.-- 水玉堂; 文政8(1825)年刊.</v>
      </c>
    </row>
    <row r="145" spans="1:3" ht="11.25">
      <c r="A145" s="3" t="str">
        <f>"124/3/5/MASAOKA"</f>
        <v>124/3/5/MASAOKA</v>
      </c>
      <c r="B145" s="3" t="str">
        <f>"9-10"</f>
        <v>9-10</v>
      </c>
      <c r="C145" s="3" t="str">
        <f t="shared" si="7"/>
        <v>荀子増注 / 久保愛増注 ; 1-20 - 19-20.-- 水玉堂; 文政8(1825)年刊.</v>
      </c>
    </row>
    <row r="146" spans="1:3" ht="11.25">
      <c r="A146" s="3" t="str">
        <f>"124/3/6/MASAOKA"</f>
        <v>124/3/6/MASAOKA</v>
      </c>
      <c r="B146" s="3" t="str">
        <f>"11-12"</f>
        <v>11-12</v>
      </c>
      <c r="C146" s="3" t="str">
        <f t="shared" si="7"/>
        <v>荀子増注 / 久保愛増注 ; 1-20 - 19-20.-- 水玉堂; 文政8(1825)年刊.</v>
      </c>
    </row>
    <row r="147" spans="1:3" ht="11.25">
      <c r="A147" s="3" t="str">
        <f>"124/3/7/MASAOKA"</f>
        <v>124/3/7/MASAOKA</v>
      </c>
      <c r="B147" s="3" t="str">
        <f>"13-14"</f>
        <v>13-14</v>
      </c>
      <c r="C147" s="3" t="str">
        <f t="shared" si="7"/>
        <v>荀子増注 / 久保愛増注 ; 1-20 - 19-20.-- 水玉堂; 文政8(1825)年刊.</v>
      </c>
    </row>
    <row r="148" spans="1:3" ht="11.25">
      <c r="A148" s="3" t="str">
        <f>"124/3/8/MASAOKA"</f>
        <v>124/3/8/MASAOKA</v>
      </c>
      <c r="B148" s="3" t="str">
        <f>"15-16"</f>
        <v>15-16</v>
      </c>
      <c r="C148" s="3" t="str">
        <f t="shared" si="7"/>
        <v>荀子増注 / 久保愛増注 ; 1-20 - 19-20.-- 水玉堂; 文政8(1825)年刊.</v>
      </c>
    </row>
    <row r="149" spans="1:3" ht="11.25">
      <c r="A149" s="3" t="str">
        <f>"124/3/9/MASAOKA"</f>
        <v>124/3/9/MASAOKA</v>
      </c>
      <c r="B149" s="3" t="str">
        <f>"17-18"</f>
        <v>17-18</v>
      </c>
      <c r="C149" s="3" t="str">
        <f t="shared" si="7"/>
        <v>荀子増注 / 久保愛増注 ; 1-20 - 19-20.-- 水玉堂; 文政8(1825)年刊.</v>
      </c>
    </row>
    <row r="150" spans="1:3" ht="11.25">
      <c r="A150" s="3" t="str">
        <f>"124/3/10/MASAOKA"</f>
        <v>124/3/10/MASAOKA</v>
      </c>
      <c r="B150" s="3" t="str">
        <f>"19-20"</f>
        <v>19-20</v>
      </c>
      <c r="C150" s="3" t="str">
        <f t="shared" si="7"/>
        <v>荀子増注 / 久保愛増注 ; 1-20 - 19-20.-- 水玉堂; 文政8(1825)年刊.</v>
      </c>
    </row>
    <row r="151" spans="1:3" ht="11.25">
      <c r="A151" s="3" t="str">
        <f>"124/3/11/MASAOKA"</f>
        <v>124/3/11/MASAOKA</v>
      </c>
      <c r="B151" s="3">
        <f>""</f>
      </c>
      <c r="C151" s="3" t="str">
        <f>"荀子増注補遺 / 猪飼彦博.-- 梅原亀七; [文政13(1830)年刊]."</f>
        <v>荀子増注補遺 / 猪飼彦博.-- 梅原亀七; [文政13(1830)年刊].</v>
      </c>
    </row>
    <row r="152" spans="1:3" ht="11.25">
      <c r="A152" s="3" t="str">
        <f>"148/1//MASAOKA"</f>
        <v>148/1//MASAOKA</v>
      </c>
      <c r="B152" s="3">
        <f>""</f>
      </c>
      <c r="C152" s="3" t="str">
        <f>"卜筮盲? / 平沢常知.-- 西宮新六; 寛政9(1797)年7月再刻."</f>
        <v>卜筮盲? / 平沢常知.-- 西宮新六; 寛政9(1797)年7月再刻.</v>
      </c>
    </row>
    <row r="153" spans="1:3" ht="11.25">
      <c r="A153" s="3" t="str">
        <f>"148/2//MASAOKA"</f>
        <v>148/2//MASAOKA</v>
      </c>
      <c r="B153" s="3">
        <f>""</f>
      </c>
      <c r="C153" s="3" t="str">
        <f>"[相学弁蒙] / [井田亀学].-- [出版者不明]; [寛政11(1799)年刊]."</f>
        <v>[相学弁蒙] / [井田亀学].-- [出版者不明]; [寛政11(1799)年刊].</v>
      </c>
    </row>
    <row r="154" spans="1:3" ht="11.25">
      <c r="A154" s="3" t="str">
        <f>"148/3//MASAOKA"</f>
        <v>148/3//MASAOKA</v>
      </c>
      <c r="B154" s="3" t="str">
        <f>"全"</f>
        <v>全</v>
      </c>
      <c r="C154" s="3" t="str">
        <f>"投銭辻占独判断 / [著者不明] ; 全.-- 浅野宇佐松; 明治19(1886)年6月."</f>
        <v>投銭辻占独判断 / [著者不明] ; 全.-- 浅野宇佐松; 明治19(1886)年6月.</v>
      </c>
    </row>
    <row r="155" spans="1:3" ht="11.25">
      <c r="A155" s="3" t="str">
        <f>"150/4//MASAOKA"</f>
        <v>150/4//MASAOKA</v>
      </c>
      <c r="B155" s="3">
        <f>""</f>
      </c>
      <c r="C155" s="3" t="str">
        <f>"人事百話 / 福羽美静講述.-- 博文館; 明治31(1898)年8月."</f>
        <v>人事百話 / 福羽美静講述.-- 博文館; 明治31(1898)年8月.</v>
      </c>
    </row>
    <row r="156" spans="1:3" ht="11.25">
      <c r="A156" s="3" t="str">
        <f>"150/5//MASAOKA"</f>
        <v>150/5//MASAOKA</v>
      </c>
      <c r="B156" s="3">
        <f>""</f>
      </c>
      <c r="C156" s="3" t="str">
        <f>"倫理新説 / 井上哲次郎著.-- 文盛堂; 明治16(1883)年3月."</f>
        <v>倫理新説 / 井上哲次郎著.-- 文盛堂; 明治16(1883)年3月.</v>
      </c>
    </row>
    <row r="157" spans="1:3" ht="11.25">
      <c r="A157" s="3" t="str">
        <f>"150/6//MASAOKA"</f>
        <v>150/6//MASAOKA</v>
      </c>
      <c r="B157" s="3">
        <f>""</f>
      </c>
      <c r="C157" s="3" t="str">
        <f>"遏淫敦孝篇 / 安堵逸郎訓点.-- 安堵逸郎; 明治18(1885)年5月刊."</f>
        <v>遏淫敦孝篇 / 安堵逸郎訓点.-- 安堵逸郎; 明治18(1885)年5月刊.</v>
      </c>
    </row>
    <row r="158" spans="1:3" ht="11.25">
      <c r="A158" s="3" t="str">
        <f>"150/7/1/MASAOKA"</f>
        <v>150/7/1/MASAOKA</v>
      </c>
      <c r="B158" s="3" t="str">
        <f>"1"</f>
        <v>1</v>
      </c>
      <c r="C158" s="3" t="str">
        <f>"女訓唐錦 / 成瀬維佐著 師岡正胤訂正 ; 1-2, 1, 2.-- 柏悦堂; 明治19(1886)年1月刊."</f>
        <v>女訓唐錦 / 成瀬維佐著 師岡正胤訂正 ; 1-2, 1, 2.-- 柏悦堂; 明治19(1886)年1月刊.</v>
      </c>
    </row>
    <row r="159" spans="1:3" ht="11.25">
      <c r="A159" s="3" t="str">
        <f>"150/7/2/MASAOKA"</f>
        <v>150/7/2/MASAOKA</v>
      </c>
      <c r="B159" s="3" t="str">
        <f>"2"</f>
        <v>2</v>
      </c>
      <c r="C159" s="3" t="str">
        <f>"女訓唐錦 / 成瀬維佐著 師岡正胤訂正 ; 1-2, 1, 2.-- 柏悦堂; 明治19(1886)年1月刊."</f>
        <v>女訓唐錦 / 成瀬維佐著 師岡正胤訂正 ; 1-2, 1, 2.-- 柏悦堂; 明治19(1886)年1月刊.</v>
      </c>
    </row>
    <row r="160" spans="1:3" ht="11.25">
      <c r="A160" s="3" t="str">
        <f>"150/8//MASAOKA"</f>
        <v>150/8//MASAOKA</v>
      </c>
      <c r="B160" s="3">
        <f>""</f>
      </c>
      <c r="C160" s="3" t="str">
        <f>"女風俗教訓図 / [著者不明].-- 鱗形屋孫兵衛; [出版年不明]."</f>
        <v>女風俗教訓図 / [著者不明].-- 鱗形屋孫兵衛; [出版年不明].</v>
      </c>
    </row>
    <row r="161" spans="1:3" ht="11.25">
      <c r="A161" s="3" t="str">
        <f>"150/9/1/MASAOKA"</f>
        <v>150/9/1/MASAOKA</v>
      </c>
      <c r="B161" s="3" t="str">
        <f>"上"</f>
        <v>上</v>
      </c>
      <c r="C161" s="3" t="str">
        <f>"町人身体柱立 / [周防由房] ; 上・下, 上, 下.-- 増補再板.-- 松栄堂めとぎや幸助; 享和2(1802)年刊."</f>
        <v>町人身体柱立 / [周防由房] ; 上・下, 上, 下.-- 増補再板.-- 松栄堂めとぎや幸助; 享和2(1802)年刊.</v>
      </c>
    </row>
    <row r="162" spans="1:3" ht="11.25">
      <c r="A162" s="3" t="str">
        <f>"150/9/2/MASAOKA"</f>
        <v>150/9/2/MASAOKA</v>
      </c>
      <c r="B162" s="3" t="str">
        <f>"下"</f>
        <v>下</v>
      </c>
      <c r="C162" s="3" t="str">
        <f>"町人身体柱立 / [周防由房] ; 上・下, 上, 下.-- 増補再板.-- 松栄堂めとぎや幸助; 享和2(1802)年刊."</f>
        <v>町人身体柱立 / [周防由房] ; 上・下, 上, 下.-- 増補再板.-- 松栄堂めとぎや幸助; 享和2(1802)年刊.</v>
      </c>
    </row>
    <row r="163" spans="1:3" ht="11.25">
      <c r="A163" s="3" t="str">
        <f>"159/1//MASAOKA"</f>
        <v>159/1//MASAOKA</v>
      </c>
      <c r="B163" s="3">
        <f>""</f>
      </c>
      <c r="C163" s="3" t="str">
        <f>"菜根譚 / 洪応明(林瑜撰) ; 前集.-- [出版者不明]; 文政5(1822)年5月序."</f>
        <v>菜根譚 / 洪応明(林瑜撰) ; 前集.-- [出版者不明]; 文政5(1822)年5月序.</v>
      </c>
    </row>
    <row r="164" spans="1:3" ht="11.25">
      <c r="A164" s="3" t="str">
        <f>"170/3//MASAOKA"</f>
        <v>170/3//MASAOKA</v>
      </c>
      <c r="B164" s="3">
        <f>""</f>
      </c>
      <c r="C164" s="3" t="str">
        <f>"祝詞式正訓 / 平田鉄胤 ; 全.-- 平田胤雄; 明治9(1876)年刊."</f>
        <v>祝詞式正訓 / 平田鉄胤 ; 全.-- 平田胤雄; 明治9(1876)年刊.</v>
      </c>
    </row>
    <row r="165" spans="1:3" ht="11.25">
      <c r="A165" s="3" t="str">
        <f>"183/1//MASAOKA"</f>
        <v>183/1//MASAOKA</v>
      </c>
      <c r="B165" s="3">
        <f>""</f>
      </c>
      <c r="C165" s="3" t="str">
        <f>"自我偈 / [著者不明].-- 岡田辰之助; 明治16(1883)年刊."</f>
        <v>自我偈 / [著者不明].-- 岡田辰之助; 明治16(1883)年刊.</v>
      </c>
    </row>
    <row r="166" spans="1:3" ht="11.25">
      <c r="A166" s="3" t="str">
        <f>"183/2//MASAOKA"</f>
        <v>183/2//MASAOKA</v>
      </c>
      <c r="B166" s="3">
        <f>""</f>
      </c>
      <c r="C166" s="3" t="str">
        <f>"聖不動経並般若心経 / [著者不明].-- 上村宏助; 明治21(1888)年10月刊."</f>
        <v>聖不動経並般若心経 / [著者不明].-- 上村宏助; 明治21(1888)年10月刊.</v>
      </c>
    </row>
    <row r="167" spans="1:3" ht="11.25">
      <c r="A167" s="3" t="str">
        <f>"183/3//MASAOKA"</f>
        <v>183/3//MASAOKA</v>
      </c>
      <c r="B167" s="3">
        <f>""</f>
      </c>
      <c r="C167" s="3" t="str">
        <f>"九條錫杖経 / [著者不明].-- 上村宏助; 明治22(1889)年4月刊."</f>
        <v>九條錫杖経 / [著者不明].-- 上村宏助; 明治22(1889)年4月刊.</v>
      </c>
    </row>
    <row r="168" spans="1:3" ht="11.25">
      <c r="A168" s="3" t="str">
        <f>"183/4//MASAOKA"</f>
        <v>183/4//MASAOKA</v>
      </c>
      <c r="B168" s="3">
        <f>""</f>
      </c>
      <c r="C168" s="3" t="str">
        <f>"大聖不動尊和讃 / [著者不明].-- 上村宏助; 明治22(1889)年12月刊."</f>
        <v>大聖不動尊和讃 / [著者不明].-- 上村宏助; 明治22(1889)年12月刊.</v>
      </c>
    </row>
    <row r="169" spans="1:3" ht="11.25">
      <c r="A169" s="3" t="str">
        <f>"183/5//MASAOKA"</f>
        <v>183/5//MASAOKA</v>
      </c>
      <c r="B169" s="3">
        <f>""</f>
      </c>
      <c r="C169" s="3" t="str">
        <f>"二経合本大般若経五百七十八金剛経 / [著者不明].-- 出雲寺文治郎; 明治16(1883)年3月(再刻)."</f>
        <v>二経合本大般若経五百七十八金剛経 / [著者不明].-- 出雲寺文治郎; 明治16(1883)年3月(再刻).</v>
      </c>
    </row>
    <row r="170" spans="1:3" ht="11.25">
      <c r="A170" s="3" t="str">
        <f>"183/6//MASAOKA"</f>
        <v>183/6//MASAOKA</v>
      </c>
      <c r="B170" s="3">
        <f>""</f>
      </c>
      <c r="C170" s="3" t="str">
        <f>"カナツケ薬師経 / [著者不明].-- [京都王泉堂]; [出版年不明]."</f>
        <v>カナツケ薬師経 / [著者不明].-- [京都王泉堂]; [出版年不明].</v>
      </c>
    </row>
    <row r="171" spans="1:3" ht="11.25">
      <c r="A171" s="3" t="str">
        <f>"183/7/1/MASAOKA"</f>
        <v>183/7/1/MASAOKA</v>
      </c>
      <c r="B171" s="3" t="str">
        <f>"1-2"</f>
        <v>1-2</v>
      </c>
      <c r="C171" s="3" t="str">
        <f>"註維摩詰経 / 僧肇 ; 1-10 - 9-10.-- 村上勘右衛門; 貞享3(1686)年9月刊."</f>
        <v>註維摩詰経 / 僧肇 ; 1-10 - 9-10.-- 村上勘右衛門; 貞享3(1686)年9月刊.</v>
      </c>
    </row>
    <row r="172" spans="1:3" ht="11.25">
      <c r="A172" s="3" t="str">
        <f>"183/7/2/MASAOKA"</f>
        <v>183/7/2/MASAOKA</v>
      </c>
      <c r="B172" s="3" t="str">
        <f>"3-4"</f>
        <v>3-4</v>
      </c>
      <c r="C172" s="3" t="str">
        <f>"註維摩詰経 / 僧肇 ; 1-10 - 9-10.-- 村上勘右衛門; 貞享3(1686)年9月刊."</f>
        <v>註維摩詰経 / 僧肇 ; 1-10 - 9-10.-- 村上勘右衛門; 貞享3(1686)年9月刊.</v>
      </c>
    </row>
    <row r="173" spans="1:3" ht="11.25">
      <c r="A173" s="3" t="str">
        <f>"183/7/3/MASAOKA"</f>
        <v>183/7/3/MASAOKA</v>
      </c>
      <c r="B173" s="3" t="str">
        <f>"5-6"</f>
        <v>5-6</v>
      </c>
      <c r="C173" s="3" t="str">
        <f>"註維摩詰経 / 僧肇 ; 1-10 - 9-10.-- 村上勘右衛門; 貞享3(1686)年9月刊."</f>
        <v>註維摩詰経 / 僧肇 ; 1-10 - 9-10.-- 村上勘右衛門; 貞享3(1686)年9月刊.</v>
      </c>
    </row>
    <row r="174" spans="1:3" ht="11.25">
      <c r="A174" s="3" t="str">
        <f>"183/7/4/MASAOKA"</f>
        <v>183/7/4/MASAOKA</v>
      </c>
      <c r="B174" s="3" t="str">
        <f>"7-8"</f>
        <v>7-8</v>
      </c>
      <c r="C174" s="3" t="str">
        <f>"註維摩詰経 / 僧肇 ; 1-10 - 9-10.-- 村上勘右衛門; 貞享3(1686)年9月刊."</f>
        <v>註維摩詰経 / 僧肇 ; 1-10 - 9-10.-- 村上勘右衛門; 貞享3(1686)年9月刊.</v>
      </c>
    </row>
    <row r="175" spans="1:3" ht="11.25">
      <c r="A175" s="3" t="str">
        <f>"183/7/5/MASAOKA"</f>
        <v>183/7/5/MASAOKA</v>
      </c>
      <c r="B175" s="3" t="str">
        <f>"9-10"</f>
        <v>9-10</v>
      </c>
      <c r="C175" s="3" t="str">
        <f>"註維摩詰経 / 僧肇 ; 1-10 - 9-10.-- 村上勘右衛門; 貞享3(1686)年9月刊."</f>
        <v>註維摩詰経 / 僧肇 ; 1-10 - 9-10.-- 村上勘右衛門; 貞享3(1686)年9月刊.</v>
      </c>
    </row>
    <row r="176" spans="1:3" ht="11.25">
      <c r="A176" s="3" t="str">
        <f>"183/8//MASAOKA"</f>
        <v>183/8//MASAOKA</v>
      </c>
      <c r="B176" s="3">
        <f>""</f>
      </c>
      <c r="C176" s="3" t="str">
        <f>"観音経 / 浅沼了音訓点.-- 岡田茂兵衛; 明治19(1886)年1月."</f>
        <v>観音経 / 浅沼了音訓点.-- 岡田茂兵衛; 明治19(1886)年1月.</v>
      </c>
    </row>
    <row r="177" spans="1:3" ht="11.25">
      <c r="A177" s="3" t="str">
        <f>"183/9//MASAOKA"</f>
        <v>183/9//MASAOKA</v>
      </c>
      <c r="B177" s="3">
        <f>""</f>
      </c>
      <c r="C177" s="3" t="str">
        <f>"観音普門品 / [著者不明].-- 宏盟堂; [出版年不明]."</f>
        <v>観音普門品 / [著者不明].-- 宏盟堂; [出版年不明].</v>
      </c>
    </row>
    <row r="178" spans="1:3" ht="11.25">
      <c r="A178" s="3" t="str">
        <f>"183/10//MASAOKA"</f>
        <v>183/10//MASAOKA</v>
      </c>
      <c r="B178" s="3">
        <f>""</f>
      </c>
      <c r="C178" s="3" t="str">
        <f>"十一面観世音菩薩随願即得羅尼経 / [著者不明].-- 田野倉常蔵; 明治32(1899)年8月."</f>
        <v>十一面観世音菩薩随願即得羅尼経 / [著者不明].-- 田野倉常蔵; 明治32(1899)年8月.</v>
      </c>
    </row>
    <row r="179" spans="1:3" ht="11.25">
      <c r="A179" s="3" t="str">
        <f>"183/11//MASAOKA"</f>
        <v>183/11//MASAOKA</v>
      </c>
      <c r="B179" s="3">
        <f>""</f>
      </c>
      <c r="C179" s="3" t="str">
        <f>"仏説阿弥陀経 / [著者不明].-- 阿南四郎右衛門板; 享保18(1733)年8月刊."</f>
        <v>仏説阿弥陀経 / [著者不明].-- 阿南四郎右衛門板; 享保18(1733)年8月刊.</v>
      </c>
    </row>
    <row r="180" spans="1:3" ht="11.25">
      <c r="A180" s="3" t="str">
        <f>"188/1//MASAOKA"</f>
        <v>188/1//MASAOKA</v>
      </c>
      <c r="B180" s="3">
        <f>""</f>
      </c>
      <c r="C180" s="3" t="str">
        <f>"九字護身法 / 仏心道人.-- 上村宏助; 明治22(1889)年5月刊."</f>
        <v>九字護身法 / 仏心道人.-- 上村宏助; 明治22(1889)年5月刊.</v>
      </c>
    </row>
    <row r="181" spans="1:3" ht="11.25">
      <c r="A181" s="3" t="str">
        <f>"188/2/1/MASAOKA"</f>
        <v>188/2/1/MASAOKA</v>
      </c>
      <c r="B181" s="3" t="str">
        <f>"上"</f>
        <v>上</v>
      </c>
      <c r="C181" s="3" t="str">
        <f>"四宗要文纂補 / 日朝撰集 英園纂補 ; [上,下], 上, [下].-- 平楽寺村上勘兵衛; 文政7(1824)年刊."</f>
        <v>四宗要文纂補 / 日朝撰集 英園纂補 ; [上,下], 上, [下].-- 平楽寺村上勘兵衛; 文政7(1824)年刊.</v>
      </c>
    </row>
    <row r="182" spans="1:3" ht="11.25">
      <c r="A182" s="3" t="str">
        <f>"188/2/2/MASAOKA"</f>
        <v>188/2/2/MASAOKA</v>
      </c>
      <c r="B182" s="3" t="str">
        <f>"中"</f>
        <v>中</v>
      </c>
      <c r="C182" s="3" t="str">
        <f>"四宗要文纂補 / 日朝 ; 中.-- 平楽寺; 文政7(1824)年刊."</f>
        <v>四宗要文纂補 / 日朝 ; 中.-- 平楽寺; 文政7(1824)年刊.</v>
      </c>
    </row>
    <row r="183" spans="1:3" ht="11.25">
      <c r="A183" s="3" t="str">
        <f>"188/2/3/MASAOKA"</f>
        <v>188/2/3/MASAOKA</v>
      </c>
      <c r="B183" s="3" t="str">
        <f>"[下]"</f>
        <v>[下]</v>
      </c>
      <c r="C183" s="3" t="str">
        <f>"四宗要文纂補 / 日朝撰集 英園纂補 ; [上,下], 上, [下].-- 平楽寺村上勘兵衛; 文政7(1824)年刊."</f>
        <v>四宗要文纂補 / 日朝撰集 英園纂補 ; [上,下], 上, [下].-- 平楽寺村上勘兵衛; 文政7(1824)年刊.</v>
      </c>
    </row>
    <row r="184" spans="1:3" ht="11.25">
      <c r="A184" s="3" t="str">
        <f>"188/3//MASAOKA"</f>
        <v>188/3//MASAOKA</v>
      </c>
      <c r="B184" s="3">
        <f>""</f>
      </c>
      <c r="C184" s="3" t="str">
        <f>"塩山仮名法語 / 抜隊和尚.-- [出版者不明]; 慶安2(1649)年2月刊."</f>
        <v>塩山仮名法語 / 抜隊和尚.-- [出版者不明]; 慶安2(1649)年2月刊.</v>
      </c>
    </row>
    <row r="185" spans="1:3" ht="11.25">
      <c r="A185" s="3" t="str">
        <f>"188/4//MASAOKA"</f>
        <v>188/4//MASAOKA</v>
      </c>
      <c r="B185" s="3">
        <f>""</f>
      </c>
      <c r="C185" s="3" t="str">
        <f>"成田山略縁起 / 小田垣利八編.-- 小田垣利八; 明治24(1891)年1月."</f>
        <v>成田山略縁起 / 小田垣利八編.-- 小田垣利八; 明治24(1891)年1月.</v>
      </c>
    </row>
    <row r="186" spans="1:3" ht="11.25">
      <c r="A186" s="3" t="str">
        <f>"188/5//MASAOKA"</f>
        <v>188/5//MASAOKA</v>
      </c>
      <c r="B186" s="3" t="str">
        <f>"全"</f>
        <v>全</v>
      </c>
      <c r="C186" s="3" t="str">
        <f>"峩山逸話 / 深山一郎 ; 全.-- 深山一郎; 明治34(1901)年1月."</f>
        <v>峩山逸話 / 深山一郎 ; 全.-- 深山一郎; 明治34(1901)年1月.</v>
      </c>
    </row>
    <row r="187" spans="1:3" ht="11.25">
      <c r="A187" s="3" t="str">
        <f>"188/6//MASAOKA"</f>
        <v>188/6//MASAOKA</v>
      </c>
      <c r="B187" s="3">
        <f>""</f>
      </c>
      <c r="C187" s="3" t="str">
        <f>"四国遍礼道指南増補大成 / [著者不明].-- [出版者不明]; [出版年不明]."</f>
        <v>四国遍礼道指南増補大成 / [著者不明].-- [出版者不明]; [出版年不明].</v>
      </c>
    </row>
    <row r="188" spans="1:3" ht="11.25">
      <c r="A188" s="3" t="str">
        <f>"188/7//MASAOKA"</f>
        <v>188/7//MASAOKA</v>
      </c>
      <c r="B188" s="3" t="str">
        <f>"全"</f>
        <v>全</v>
      </c>
      <c r="C188" s="3" t="str">
        <f>"一枚起證文一紙小消息三和讃 ; 全.-- 縁山西渓竹叢軒蔵版; 天保15(1844)年3月刊."</f>
        <v>一枚起證文一紙小消息三和讃 ; 全.-- 縁山西渓竹叢軒蔵版; 天保15(1844)年3月刊.</v>
      </c>
    </row>
    <row r="189" spans="1:3" ht="11.25">
      <c r="A189" s="3" t="str">
        <f>"188/8//MASAOKA"</f>
        <v>188/8//MASAOKA</v>
      </c>
      <c r="B189" s="3" t="str">
        <f>"全"</f>
        <v>全</v>
      </c>
      <c r="C189" s="3" t="str">
        <f>"訓点真宗三部経科本 / 占部観順編 ; 全.-- 西村七兵衛; 明治19(1886)年刊."</f>
        <v>訓点真宗三部経科本 / 占部観順編 ; 全.-- 西村七兵衛; 明治19(1886)年刊.</v>
      </c>
    </row>
    <row r="190" spans="1:3" ht="11.25">
      <c r="A190" s="3" t="str">
        <f>"188/9//MASAOKA"</f>
        <v>188/9//MASAOKA</v>
      </c>
      <c r="B190" s="3">
        <f>""</f>
      </c>
      <c r="C190" s="3" t="str">
        <f>"浄土和讃 / [親鸞著].-- [出版者不明]; [出版年不明]."</f>
        <v>浄土和讃 / [親鸞著].-- [出版者不明]; [出版年不明].</v>
      </c>
    </row>
    <row r="191" spans="1:3" ht="11.25">
      <c r="A191" s="3" t="str">
        <f>"188/10//MASAOKA"</f>
        <v>188/10//MASAOKA</v>
      </c>
      <c r="B191" s="3">
        <f>""</f>
      </c>
      <c r="C191" s="3" t="str">
        <f>"高僧和讃 / [親鸞著].-- [出版者不明]; [出版年不明]."</f>
        <v>高僧和讃 / [親鸞著].-- [出版者不明]; [出版年不明].</v>
      </c>
    </row>
    <row r="192" spans="1:3" ht="11.25">
      <c r="A192" s="3" t="str">
        <f>"188/11//MASAOKA"</f>
        <v>188/11//MASAOKA</v>
      </c>
      <c r="B192" s="3">
        <f>""</f>
      </c>
      <c r="C192" s="3" t="str">
        <f>"正像末和讃 / [親鸞著].-- [出版者不明]; 寛政元(1789)年10月刊."</f>
        <v>正像末和讃 / [親鸞著].-- [出版者不明]; 寛政元(1789)年10月刊.</v>
      </c>
    </row>
    <row r="193" spans="1:3" ht="11.25">
      <c r="A193" s="3" t="str">
        <f>"188/12//MASAOKA"</f>
        <v>188/12//MASAOKA</v>
      </c>
      <c r="B193" s="3">
        <f>""</f>
      </c>
      <c r="C193" s="3" t="str">
        <f>"史的批評親鸞真伝 / 村田勤.-- 教文館; 明治29(1896)年4月."</f>
        <v>史的批評親鸞真伝 / 村田勤.-- 教文館; 明治29(1896)年4月.</v>
      </c>
    </row>
    <row r="194" spans="1:3" ht="11.25">
      <c r="A194" s="3" t="str">
        <f>"188/13//MASAOKA"</f>
        <v>188/13//MASAOKA</v>
      </c>
      <c r="B194" s="3">
        <f>""</f>
      </c>
      <c r="C194" s="3" t="str">
        <f>"信濃国善光寺如来略縁起 / [著者不明].-- [出版者不明]; 正徳2(1712)年3月跋."</f>
        <v>信濃国善光寺如来略縁起 / [著者不明].-- [出版者不明]; 正徳2(1712)年3月跋.</v>
      </c>
    </row>
    <row r="195" spans="1:3" ht="11.25">
      <c r="A195" s="3" t="str">
        <f>"188/14//MASAOKA"</f>
        <v>188/14//MASAOKA</v>
      </c>
      <c r="B195" s="3">
        <f>""</f>
      </c>
      <c r="C195" s="3" t="str">
        <f>"袖珍無門関 / 宗紹[編] ; 全.-- 柳枝軒小川多左衛門; [出版年不明]."</f>
        <v>袖珍無門関 / 宗紹[編] ; 全.-- 柳枝軒小川多左衛門; [出版年不明].</v>
      </c>
    </row>
    <row r="196" spans="1:3" ht="11.25">
      <c r="A196" s="3" t="str">
        <f>"188/15/1/MASAOKA"</f>
        <v>188/15/1/MASAOKA</v>
      </c>
      <c r="B196" s="3" t="str">
        <f>"巻1"</f>
        <v>巻1</v>
      </c>
      <c r="C196" s="3" t="str">
        <f>"白隠禅師法話集 / 小川多左衛門編 ; 巻1.-- 小川多左衛門; 明治27(1894)年6月."</f>
        <v>白隠禅師法話集 / 小川多左衛門編 ; 巻1.-- 小川多左衛門; 明治27(1894)年6月.</v>
      </c>
    </row>
    <row r="197" spans="1:3" ht="11.25">
      <c r="A197" s="3" t="str">
        <f>"188/16//MASAOKA"</f>
        <v>188/16//MASAOKA</v>
      </c>
      <c r="B197" s="3">
        <f>""</f>
      </c>
      <c r="C197" s="3" t="str">
        <f>"首書傍解普勧坐禅儀不能語 / 翼龍童編.-- 那伽室; 明治12(1879)年刊."</f>
        <v>首書傍解普勧坐禅儀不能語 / 翼龍童編.-- 那伽室; 明治12(1879)年刊.</v>
      </c>
    </row>
    <row r="198" spans="1:3" ht="11.25">
      <c r="A198" s="3" t="str">
        <f>"188/17//MASAOKA"</f>
        <v>188/17//MASAOKA</v>
      </c>
      <c r="B198" s="3">
        <f>""</f>
      </c>
      <c r="C198" s="3" t="str">
        <f>"智慧文庫 / [著者不明].-- [製作者不明]; [製作年不明]."</f>
        <v>智慧文庫 / [著者不明].-- [製作者不明]; [製作年不明].</v>
      </c>
    </row>
    <row r="199" spans="1:3" ht="11.25">
      <c r="A199" s="3" t="str">
        <f>"188/18//MASAOKA"</f>
        <v>188/18//MASAOKA</v>
      </c>
      <c r="B199" s="3">
        <f>""</f>
      </c>
      <c r="C199" s="3" t="str">
        <f>"挫日蓮 / [徳川宗将著] ; 完.-- [出版者不明]; 寛延4(1751)3月序."</f>
        <v>挫日蓮 / [徳川宗将著] ; 完.-- [出版者不明]; 寛延4(1751)3月序.</v>
      </c>
    </row>
    <row r="200" spans="1:3" ht="11.25">
      <c r="A200" s="3" t="str">
        <f>"188/19//MASAOKA"</f>
        <v>188/19//MASAOKA</v>
      </c>
      <c r="B200" s="3">
        <f>""</f>
      </c>
      <c r="C200" s="3" t="str">
        <f>"仏像図彙 / [土佐秀信画].-- 大文字屋与三兵衛; 寛政8(1796)10月刊."</f>
        <v>仏像図彙 / [土佐秀信画].-- 大文字屋与三兵衛; 寛政8(1796)10月刊.</v>
      </c>
    </row>
    <row r="201" spans="1:3" ht="11.25">
      <c r="A201" s="3" t="str">
        <f>"188/20//MASAOKA"</f>
        <v>188/20//MASAOKA</v>
      </c>
      <c r="B201" s="3">
        <f>""</f>
      </c>
      <c r="C201" s="3" t="str">
        <f>"売茶翁偈語 / 高遊外 [著] ; 梅山校.-- 小川源兵衛; 宝暦13(1763)年."</f>
        <v>売茶翁偈語 / 高遊外 [著] ; 梅山校.-- 小川源兵衛; 宝暦13(1763)年.</v>
      </c>
    </row>
    <row r="202" spans="1:3" ht="11.25">
      <c r="A202" s="3" t="str">
        <f>"190/1//MASAOKA"</f>
        <v>190/1//MASAOKA</v>
      </c>
      <c r="B202" s="3">
        <f>""</f>
      </c>
      <c r="C202" s="3" t="str">
        <f>"万物ワ唯物質ヨリナルカ / [スピンネル著].-- 草間時福; 明治21(1888)1月.-- (普及福音教会叢書)."</f>
        <v>万物ワ唯物質ヨリナルカ / [スピンネル著].-- 草間時福; 明治21(1888)1月.-- (普及福音教会叢書).</v>
      </c>
    </row>
    <row r="203" spans="1:3" ht="11.25">
      <c r="A203" s="3" t="str">
        <f>"190/2/1/MASAOKA"</f>
        <v>190/2/1/MASAOKA</v>
      </c>
      <c r="B203" s="3" t="str">
        <f>"上"</f>
        <v>上</v>
      </c>
      <c r="C203" s="3" t="str">
        <f>"訓点天道溯原 / 丁?良著 中村正直訓点 ; 上・中・下 - 下.-- 和泉屋市兵衛; 明治8(1875)11月."</f>
        <v>訓点天道溯原 / 丁?良著 中村正直訓点 ; 上・中・下 - 下.-- 和泉屋市兵衛; 明治8(1875)11月.</v>
      </c>
    </row>
    <row r="204" spans="1:3" ht="11.25">
      <c r="A204" s="3" t="str">
        <f>"190/2/2/MASAOKA"</f>
        <v>190/2/2/MASAOKA</v>
      </c>
      <c r="B204" s="3" t="str">
        <f>"中"</f>
        <v>中</v>
      </c>
      <c r="C204" s="3" t="str">
        <f>"訓点天道溯原 / 丁?良著 中村正直訓点 ; 上・中・下 - 下.-- 和泉屋市兵衛; 明治8(1875)11月."</f>
        <v>訓点天道溯原 / 丁?良著 中村正直訓点 ; 上・中・下 - 下.-- 和泉屋市兵衛; 明治8(1875)11月.</v>
      </c>
    </row>
    <row r="205" spans="1:3" ht="11.25">
      <c r="A205" s="3" t="str">
        <f>"190/2/3/MASAOKA"</f>
        <v>190/2/3/MASAOKA</v>
      </c>
      <c r="B205" s="3" t="str">
        <f>"下"</f>
        <v>下</v>
      </c>
      <c r="C205" s="3" t="str">
        <f>"訓点天道溯原 / 丁?良著 中村正直訓点 ; 上・中・下 - 下.-- 和泉屋市兵衛; 明治8(1875)11月."</f>
        <v>訓点天道溯原 / 丁?良著 中村正直訓点 ; 上・中・下 - 下.-- 和泉屋市兵衛; 明治8(1875)11月.</v>
      </c>
    </row>
    <row r="206" spans="1:3" ht="11.25">
      <c r="A206" s="3" t="str">
        <f>"201/1//MASAOKA"</f>
        <v>201/1//MASAOKA</v>
      </c>
      <c r="B206" s="3">
        <f>""</f>
      </c>
      <c r="C206" s="3" t="str">
        <f>"歴史哲学 / マルシャス・ウヰルソン著 鈴置倉次郎纂訳 坪井九馬三校閲.-- 英蘭堂; 明治21(1888)年11月."</f>
        <v>歴史哲学 / マルシャス・ウヰルソン著 鈴置倉次郎纂訳 坪井九馬三校閲.-- 英蘭堂; 明治21(1888)年11月.</v>
      </c>
    </row>
    <row r="207" spans="1:3" ht="11.25">
      <c r="A207" s="3" t="str">
        <f>"202/1//MASAOKA"</f>
        <v>202/1//MASAOKA</v>
      </c>
      <c r="B207" s="3">
        <f>""</f>
      </c>
      <c r="C207" s="3" t="str">
        <f>"仏足石碑銘 / [野呂元丈編].-- [出版地不明]; 宝暦2(1752)年秋跋."</f>
        <v>仏足石碑銘 / [野呂元丈編].-- [出版地不明]; 宝暦2(1752)年秋跋.</v>
      </c>
    </row>
    <row r="208" spans="1:3" ht="11.25">
      <c r="A208" s="3" t="str">
        <f>"210/1//MASAOKA"</f>
        <v>210/1//MASAOKA</v>
      </c>
      <c r="B208" s="3" t="str">
        <f>"巻1之巻"</f>
        <v>巻1之巻</v>
      </c>
      <c r="C208" s="3" t="str">
        <f>"日本歴史 / 正岡常規自筆 ; 巻1-3之巻 - 巻3之巻.-- [製作者不明]; [製作年不明]."</f>
        <v>日本歴史 / 正岡常規自筆 ; 巻1-3之巻 - 巻3之巻.-- [製作者不明]; [製作年不明].</v>
      </c>
    </row>
    <row r="209" spans="1:3" ht="11.25">
      <c r="A209" s="3" t="str">
        <f>"210/2/1/MASAOKA"</f>
        <v>210/2/1/MASAOKA</v>
      </c>
      <c r="B209" s="3" t="str">
        <f>"巻1之巻"</f>
        <v>巻1之巻</v>
      </c>
      <c r="C209" s="3" t="str">
        <f>"日本歴史 / 正岡常規自筆 ; 巻1-3之巻 - 巻3之巻.-- [製作者不明]; [製作年不明]."</f>
        <v>日本歴史 / 正岡常規自筆 ; 巻1-3之巻 - 巻3之巻.-- [製作者不明]; [製作年不明].</v>
      </c>
    </row>
    <row r="210" spans="1:3" ht="11.25">
      <c r="A210" s="3" t="str">
        <f>"210/2/2/MASAOKA"</f>
        <v>210/2/2/MASAOKA</v>
      </c>
      <c r="B210" s="3" t="str">
        <f>"巻2之巻"</f>
        <v>巻2之巻</v>
      </c>
      <c r="C210" s="3" t="str">
        <f>"日本歴史 / 正岡常規自筆 ; 巻1-3之巻 - 巻3之巻.-- [製作者不明]; [製作年不明]."</f>
        <v>日本歴史 / 正岡常規自筆 ; 巻1-3之巻 - 巻3之巻.-- [製作者不明]; [製作年不明].</v>
      </c>
    </row>
    <row r="211" spans="1:3" ht="11.25">
      <c r="A211" s="3" t="str">
        <f>"210/2/3/MASAOKA"</f>
        <v>210/2/3/MASAOKA</v>
      </c>
      <c r="B211" s="3" t="str">
        <f>"巻3之巻"</f>
        <v>巻3之巻</v>
      </c>
      <c r="C211" s="3" t="str">
        <f>"日本歴史 / 正岡常規自筆 ; 巻1-3之巻 - 巻3之巻.-- [製作者不明]; [製作年不明]."</f>
        <v>日本歴史 / 正岡常規自筆 ; 巻1-3之巻 - 巻3之巻.-- [製作者不明]; [製作年不明].</v>
      </c>
    </row>
    <row r="212" spans="1:3" ht="11.25">
      <c r="A212" s="3" t="str">
        <f>"210/3//MASAOKA"</f>
        <v>210/3//MASAOKA</v>
      </c>
      <c r="B212" s="3" t="str">
        <f>"全"</f>
        <v>全</v>
      </c>
      <c r="C212" s="3" t="str">
        <f>"校訂神皇正統記 / 飯田武郷,久米幹文校訂 ; 全.-- 国語伝習所; 明治24(1891)年5月."</f>
        <v>校訂神皇正統記 / 飯田武郷,久米幹文校訂 ; 全.-- 国語伝習所; 明治24(1891)年5月.</v>
      </c>
    </row>
    <row r="213" spans="1:3" ht="11.25">
      <c r="A213" s="3" t="str">
        <f>"210/4//MASAOKA"</f>
        <v>210/4//MASAOKA</v>
      </c>
      <c r="B213" s="3" t="str">
        <f>"全"</f>
        <v>全</v>
      </c>
      <c r="C213" s="3" t="str">
        <f>"刪補和漢年契 / 高安蘆屋(高昶)著 山崎美成校 ; 全.-- 吉田屋文三郎; 万延2(1861)年刊."</f>
        <v>刪補和漢年契 / 高安蘆屋(高昶)著 山崎美成校 ; 全.-- 吉田屋文三郎; 万延2(1861)年刊.</v>
      </c>
    </row>
    <row r="214" spans="1:3" ht="11.25">
      <c r="A214" s="3" t="str">
        <f>"210/5//MASAOKA"</f>
        <v>210/5//MASAOKA</v>
      </c>
      <c r="B214" s="3" t="str">
        <f>"単"</f>
        <v>単</v>
      </c>
      <c r="C214" s="3" t="str">
        <f>"新撰年表 / 清宮秀堅著 ; 単.-- 佐倉順天堂; 文久3(1863)年刊."</f>
        <v>新撰年表 / 清宮秀堅著 ; 単.-- 佐倉順天堂; 文久3(1863)年刊.</v>
      </c>
    </row>
    <row r="215" spans="1:3" ht="11.25">
      <c r="A215" s="3" t="str">
        <f>"210/6//MASAOKA"</f>
        <v>210/6//MASAOKA</v>
      </c>
      <c r="B215" s="3">
        <f>""</f>
      </c>
      <c r="C215" s="3" t="str">
        <f>"近代公実厳秘録・当時珍説要秘録 / [著者不明].-- [出版者不明]; [出版年不明]."</f>
        <v>近代公実厳秘録・当時珍説要秘録 / [著者不明].-- [出版者不明]; [出版年不明].</v>
      </c>
    </row>
    <row r="216" spans="1:3" ht="11.25">
      <c r="A216" s="3" t="str">
        <f>"210/7//MASAOKA"</f>
        <v>210/7//MASAOKA</v>
      </c>
      <c r="B216" s="3" t="str">
        <f>"巻之7"</f>
        <v>巻之7</v>
      </c>
      <c r="C216" s="3" t="str">
        <f>"新補倭年代皇紀絵章 / [著者不明] ; 巻之7.-- 河内屋喜兵衛; 天明1(1781)年6月刊."</f>
        <v>新補倭年代皇紀絵章 / [著者不明] ; 巻之7.-- 河内屋喜兵衛; 天明1(1781)年6月刊.</v>
      </c>
    </row>
    <row r="217" spans="1:3" ht="11.25">
      <c r="A217" s="3" t="str">
        <f>"210.1/1//MASAOKA"</f>
        <v>210.1/1//MASAOKA</v>
      </c>
      <c r="B217" s="3" t="str">
        <f>"2"</f>
        <v>2</v>
      </c>
      <c r="C217" s="3" t="str">
        <f>"続日本略史 / 藤井維勉編 ; 2.-- 柳河梅次郎; 明治11(1878)年10月."</f>
        <v>続日本略史 / 藤井維勉編 ; 2.-- 柳河梅次郎; 明治11(1878)年10月.</v>
      </c>
    </row>
    <row r="218" spans="1:3" ht="11.25">
      <c r="A218" s="3" t="str">
        <f>"210.1/2//MASAOKA"</f>
        <v>210.1/2//MASAOKA</v>
      </c>
      <c r="B218" s="3" t="str">
        <f>"初編"</f>
        <v>初編</v>
      </c>
      <c r="C218" s="3" t="str">
        <f>"大八洲史 / 久米幹文 ; 初編.-- 大八洲学会; 明治22(1889)年2月再版."</f>
        <v>大八洲史 / 久米幹文 ; 初編.-- 大八洲学会; 明治22(1889)年2月再版.</v>
      </c>
    </row>
    <row r="219" spans="1:3" ht="11.25">
      <c r="A219" s="3" t="str">
        <f>"210.1/3//MASAOKA"</f>
        <v>210.1/3//MASAOKA</v>
      </c>
      <c r="B219" s="3" t="str">
        <f>"全"</f>
        <v>全</v>
      </c>
      <c r="C219" s="3" t="str">
        <f>"校訂日本書紀 / 岸本宗道校訂 ; 全.-- 東京堂; 明治25(1892)年8月."</f>
        <v>校訂日本書紀 / 岸本宗道校訂 ; 全.-- 東京堂; 明治25(1892)年8月.</v>
      </c>
    </row>
    <row r="220" spans="1:3" ht="11.25">
      <c r="A220" s="3" t="str">
        <f>"210.1/4//MASAOKA"</f>
        <v>210.1/4//MASAOKA</v>
      </c>
      <c r="B220" s="3" t="str">
        <f>"1"</f>
        <v>1</v>
      </c>
      <c r="C220" s="3" t="str">
        <f>"校訂続日本紀 / 岸本宗道校訂 ; 1.-- 東京堂; 明治25(1892)年11月."</f>
        <v>校訂続日本紀 / 岸本宗道校訂 ; 1.-- 東京堂; 明治25(1892)年11月.</v>
      </c>
    </row>
    <row r="221" spans="1:3" ht="11.25">
      <c r="A221" s="3" t="str">
        <f>"210.3/1/1/MASAOKA"</f>
        <v>210.3/1/1/MASAOKA</v>
      </c>
      <c r="B221" s="3" t="str">
        <f>"上"</f>
        <v>上</v>
      </c>
      <c r="C221" s="3" t="str">
        <f>"村上忠順古事記標註 / 村上忠順 ; 上・中・下 - 下.-- 深見藤吉; 明治7(1874)年1月."</f>
        <v>村上忠順古事記標註 / 村上忠順 ; 上・中・下 - 下.-- 深見藤吉; 明治7(1874)年1月.</v>
      </c>
    </row>
    <row r="222" spans="1:3" ht="11.25">
      <c r="A222" s="3" t="str">
        <f>"210.3/1/2/MASAOKA"</f>
        <v>210.3/1/2/MASAOKA</v>
      </c>
      <c r="B222" s="3" t="str">
        <f>"中"</f>
        <v>中</v>
      </c>
      <c r="C222" s="3" t="str">
        <f>"村上忠順古事記標註 / 村上忠順 ; 上・中・下 - 下.-- 深見藤吉; 明治7(1874)年1月."</f>
        <v>村上忠順古事記標註 / 村上忠順 ; 上・中・下 - 下.-- 深見藤吉; 明治7(1874)年1月.</v>
      </c>
    </row>
    <row r="223" spans="1:3" ht="11.25">
      <c r="A223" s="3" t="str">
        <f>"210.3/1/3/MASAOKA"</f>
        <v>210.3/1/3/MASAOKA</v>
      </c>
      <c r="B223" s="3" t="str">
        <f>"下"</f>
        <v>下</v>
      </c>
      <c r="C223" s="3" t="str">
        <f>"村上忠順古事記標註 / 村上忠順 ; 上・中・下 - 下.-- 深見藤吉; 明治7(1874)年1月."</f>
        <v>村上忠順古事記標註 / 村上忠順 ; 上・中・下 - 下.-- 深見藤吉; 明治7(1874)年1月.</v>
      </c>
    </row>
    <row r="224" spans="1:3" ht="11.25">
      <c r="A224" s="3" t="str">
        <f>"210.5/1/1/MASAOKA"</f>
        <v>210.5/1/1/MASAOKA</v>
      </c>
      <c r="B224" s="3" t="str">
        <f>"第1"</f>
        <v>第1</v>
      </c>
      <c r="C224" s="3" t="str">
        <f aca="true" t="shared" si="8" ref="C224:C230">"徳川十五代史 / 内藤耻臾編 ; 第1-6,12編 - 第12.-- 博文館; 明治25-26(1892-1893)年."</f>
        <v>徳川十五代史 / 内藤耻臾編 ; 第1-6,12編 - 第12.-- 博文館; 明治25-26(1892-1893)年.</v>
      </c>
    </row>
    <row r="225" spans="1:3" ht="11.25">
      <c r="A225" s="3" t="str">
        <f>"210.5/1/2/MASAOKA"</f>
        <v>210.5/1/2/MASAOKA</v>
      </c>
      <c r="B225" s="3" t="str">
        <f>"第2"</f>
        <v>第2</v>
      </c>
      <c r="C225" s="3" t="str">
        <f t="shared" si="8"/>
        <v>徳川十五代史 / 内藤耻臾編 ; 第1-6,12編 - 第12.-- 博文館; 明治25-26(1892-1893)年.</v>
      </c>
    </row>
    <row r="226" spans="1:3" ht="11.25">
      <c r="A226" s="3" t="str">
        <f>"210.5/1/3/MASAOKA"</f>
        <v>210.5/1/3/MASAOKA</v>
      </c>
      <c r="B226" s="3" t="str">
        <f>"第3"</f>
        <v>第3</v>
      </c>
      <c r="C226" s="3" t="str">
        <f t="shared" si="8"/>
        <v>徳川十五代史 / 内藤耻臾編 ; 第1-6,12編 - 第12.-- 博文館; 明治25-26(1892-1893)年.</v>
      </c>
    </row>
    <row r="227" spans="1:3" ht="11.25">
      <c r="A227" s="3" t="str">
        <f>"210.5/1/4/MASAOKA"</f>
        <v>210.5/1/4/MASAOKA</v>
      </c>
      <c r="B227" s="3" t="str">
        <f>"第4"</f>
        <v>第4</v>
      </c>
      <c r="C227" s="3" t="str">
        <f t="shared" si="8"/>
        <v>徳川十五代史 / 内藤耻臾編 ; 第1-6,12編 - 第12.-- 博文館; 明治25-26(1892-1893)年.</v>
      </c>
    </row>
    <row r="228" spans="1:3" ht="11.25">
      <c r="A228" s="3" t="str">
        <f>"210.5/1/5/MASAOKA"</f>
        <v>210.5/1/5/MASAOKA</v>
      </c>
      <c r="B228" s="3" t="str">
        <f>"第5"</f>
        <v>第5</v>
      </c>
      <c r="C228" s="3" t="str">
        <f t="shared" si="8"/>
        <v>徳川十五代史 / 内藤耻臾編 ; 第1-6,12編 - 第12.-- 博文館; 明治25-26(1892-1893)年.</v>
      </c>
    </row>
    <row r="229" spans="1:3" ht="11.25">
      <c r="A229" s="3" t="str">
        <f>"210.5/1/6/MASAOKA"</f>
        <v>210.5/1/6/MASAOKA</v>
      </c>
      <c r="B229" s="3" t="str">
        <f>"第6"</f>
        <v>第6</v>
      </c>
      <c r="C229" s="3" t="str">
        <f t="shared" si="8"/>
        <v>徳川十五代史 / 内藤耻臾編 ; 第1-6,12編 - 第12.-- 博文館; 明治25-26(1892-1893)年.</v>
      </c>
    </row>
    <row r="230" spans="1:3" ht="11.25">
      <c r="A230" s="3" t="str">
        <f>"210.5/1/12/MASAOKA"</f>
        <v>210.5/1/12/MASAOKA</v>
      </c>
      <c r="B230" s="3" t="str">
        <f>"第12"</f>
        <v>第12</v>
      </c>
      <c r="C230" s="3" t="str">
        <f t="shared" si="8"/>
        <v>徳川十五代史 / 内藤耻臾編 ; 第1-6,12編 - 第12.-- 博文館; 明治25-26(1892-1893)年.</v>
      </c>
    </row>
    <row r="231" spans="1:3" ht="11.25">
      <c r="A231" s="3" t="str">
        <f>"213.2/1//MASAOKA"</f>
        <v>213.2/1//MASAOKA</v>
      </c>
      <c r="B231" s="3">
        <f>""</f>
      </c>
      <c r="C231" s="3" t="str">
        <f>"晃山実記 / 栃木県編.-- 下野新聞旭香社; 明治24(1891)年7月."</f>
        <v>晃山実記 / 栃木県編.-- 下野新聞旭香社; 明治24(1891)年7月.</v>
      </c>
    </row>
    <row r="232" spans="1:3" ht="11.25">
      <c r="A232" s="3" t="str">
        <f>"213.2/2//MASAOKA"</f>
        <v>213.2/2//MASAOKA</v>
      </c>
      <c r="B232" s="3">
        <f>""</f>
      </c>
      <c r="C232" s="3" t="str">
        <f>"日光山紀勝 . 松島紀行 / 大村斐夫著.-- 横山治平; 明治16(1883)年7月."</f>
        <v>日光山紀勝 . 松島紀行 / 大村斐夫著.-- 横山治平; 明治16(1883)年7月.</v>
      </c>
    </row>
    <row r="233" spans="1:3" ht="11.25">
      <c r="A233" s="3" t="str">
        <f>"213.2/3//MASAOKA"</f>
        <v>213.2/3//MASAOKA</v>
      </c>
      <c r="B233" s="3">
        <f>""</f>
      </c>
      <c r="C233" s="3" t="str">
        <f>"日光山紀勝 / 藤野啓.-- [出版者不明]; 明治20(1887)年跋."</f>
        <v>日光山紀勝 / 藤野啓.-- [出版者不明]; 明治20(1887)年跋.</v>
      </c>
    </row>
    <row r="234" spans="1:3" ht="11.25">
      <c r="A234" s="3" t="str">
        <f>"213.6/1/1/MASAOKA"</f>
        <v>213.6/1/1/MASAOKA</v>
      </c>
      <c r="B234" s="3" t="str">
        <f>"1"</f>
        <v>1</v>
      </c>
      <c r="C234" s="3" t="str">
        <f>"江戸繁昌記 / 寺門静軒著 ; 1-5 - 5.-- 克己塾[蔵板]; 天保3(1832)年刊."</f>
        <v>江戸繁昌記 / 寺門静軒著 ; 1-5 - 5.-- 克己塾[蔵板]; 天保3(1832)年刊.</v>
      </c>
    </row>
    <row r="235" spans="1:3" ht="11.25">
      <c r="A235" s="3" t="str">
        <f>"213.6/1/2/MASAOKA"</f>
        <v>213.6/1/2/MASAOKA</v>
      </c>
      <c r="B235" s="3" t="str">
        <f>"2"</f>
        <v>2</v>
      </c>
      <c r="C235" s="3" t="str">
        <f>"江戸繁昌記 / 寺門静軒著 ; 1-5 - 5.-- 克己塾[蔵板]; 天保3(1832)年刊."</f>
        <v>江戸繁昌記 / 寺門静軒著 ; 1-5 - 5.-- 克己塾[蔵板]; 天保3(1832)年刊.</v>
      </c>
    </row>
    <row r="236" spans="1:3" ht="11.25">
      <c r="A236" s="3" t="str">
        <f>"213.6/1/3/MASAOKA"</f>
        <v>213.6/1/3/MASAOKA</v>
      </c>
      <c r="B236" s="3" t="str">
        <f>"3"</f>
        <v>3</v>
      </c>
      <c r="C236" s="3" t="str">
        <f>"江戸繁昌記 / 寺門静軒著 ; 1-5 - 5.-- 克己塾[蔵板]; 天保3(1832)年刊."</f>
        <v>江戸繁昌記 / 寺門静軒著 ; 1-5 - 5.-- 克己塾[蔵板]; 天保3(1832)年刊.</v>
      </c>
    </row>
    <row r="237" spans="1:3" ht="11.25">
      <c r="A237" s="3" t="str">
        <f>"213.6/1/4/MASAOKA"</f>
        <v>213.6/1/4/MASAOKA</v>
      </c>
      <c r="B237" s="3" t="str">
        <f>"4"</f>
        <v>4</v>
      </c>
      <c r="C237" s="3" t="str">
        <f>"江戸繁昌記 / 寺門静軒著 ; 1-5 - 5.-- 克己塾[蔵板]; 天保3(1832)年刊."</f>
        <v>江戸繁昌記 / 寺門静軒著 ; 1-5 - 5.-- 克己塾[蔵板]; 天保3(1832)年刊.</v>
      </c>
    </row>
    <row r="238" spans="1:3" ht="11.25">
      <c r="A238" s="3" t="str">
        <f>"213.6/1/5/MASAOKA"</f>
        <v>213.6/1/5/MASAOKA</v>
      </c>
      <c r="B238" s="3" t="str">
        <f>"5"</f>
        <v>5</v>
      </c>
      <c r="C238" s="3" t="str">
        <f>"江戸繁昌記 / 寺門静軒著 ; 1-5 - 5.-- 克己塾[蔵板]; 天保3(1832)年刊."</f>
        <v>江戸繁昌記 / 寺門静軒著 ; 1-5 - 5.-- 克己塾[蔵板]; 天保3(1832)年刊.</v>
      </c>
    </row>
    <row r="239" spans="1:3" ht="11.25">
      <c r="A239" s="3" t="str">
        <f>"213.6/2//MASAOKA"</f>
        <v>213.6/2//MASAOKA</v>
      </c>
      <c r="B239" s="3">
        <f>""</f>
      </c>
      <c r="C239" s="3" t="str">
        <f>"隅田川叢誌 / 矢掛弓雄編 ; 全.-- [出版者不明]; 明治25(1892)年12月."</f>
        <v>隅田川叢誌 / 矢掛弓雄編 ; 全.-- [出版者不明]; 明治25(1892)年12月.</v>
      </c>
    </row>
    <row r="240" spans="1:3" ht="11.25">
      <c r="A240" s="3" t="str">
        <f>"216.2/1//MASAOKA"</f>
        <v>216.2/1//MASAOKA</v>
      </c>
      <c r="B240" s="3">
        <f>""</f>
      </c>
      <c r="C240" s="3" t="str">
        <f>"都繁昌記 / 中島棕隠編.-- 丁字屋源次郎; [慶応3(1867)年刊]."</f>
        <v>都繁昌記 / 中島棕隠編.-- 丁字屋源次郎; [慶応3(1867)年刊].</v>
      </c>
    </row>
    <row r="241" spans="1:3" ht="11.25">
      <c r="A241" s="3" t="str">
        <f>"219.9/1//MASAOKA"</f>
        <v>219.9/1//MASAOKA</v>
      </c>
      <c r="B241" s="3">
        <f>""</f>
      </c>
      <c r="C241" s="3" t="str">
        <f>"琉球年代記 / [太田南畝著] ; 全.-- 杏花園; 天保3(1834)年9月序."</f>
        <v>琉球年代記 / [太田南畝著] ; 全.-- 杏花園; 天保3(1834)年9月序.</v>
      </c>
    </row>
    <row r="242" spans="1:3" ht="11.25">
      <c r="A242" s="3" t="str">
        <f>"220/2//MASAOKA"</f>
        <v>220/2//MASAOKA</v>
      </c>
      <c r="B242" s="3" t="str">
        <f>"第2 上,下"</f>
        <v>第2 上,下</v>
      </c>
      <c r="C242" s="3" t="str">
        <f>"支那文明史 / 莞爾生自筆 ; 第2上,下, 第2 上,下.-- [製作者不明]; [製作年不明]."</f>
        <v>支那文明史 / 莞爾生自筆 ; 第2上,下, 第2 上,下.-- [製作者不明]; [製作年不明].</v>
      </c>
    </row>
    <row r="243" spans="1:3" ht="11.25">
      <c r="A243" s="3" t="str">
        <f>"220/3/1/MASAOKA"</f>
        <v>220/3/1/MASAOKA</v>
      </c>
      <c r="B243" s="3" t="str">
        <f>"巻之1"</f>
        <v>巻之1</v>
      </c>
      <c r="C243" s="3" t="str">
        <f>"支那歴史 / 莞爾生自筆 ; 巻之1-巻3 - 巻3.-- [製作者不明]; [製作年不明]."</f>
        <v>支那歴史 / 莞爾生自筆 ; 巻之1-巻3 - 巻3.-- [製作者不明]; [製作年不明].</v>
      </c>
    </row>
    <row r="244" spans="1:3" ht="11.25">
      <c r="A244" s="3" t="str">
        <f>"220/4/1/MASAOKA"</f>
        <v>220/4/1/MASAOKA</v>
      </c>
      <c r="B244" s="3" t="str">
        <f>"巻之1"</f>
        <v>巻之1</v>
      </c>
      <c r="C244" s="3" t="str">
        <f>"支那歴史 / 莞爾生自筆 ; 巻之1-巻3 - 巻3.-- [製作者不明]; [製作年不明]."</f>
        <v>支那歴史 / 莞爾生自筆 ; 巻之1-巻3 - 巻3.-- [製作者不明]; [製作年不明].</v>
      </c>
    </row>
    <row r="245" spans="1:3" ht="11.25">
      <c r="A245" s="3" t="str">
        <f>"220/4/2/MASAOKA"</f>
        <v>220/4/2/MASAOKA</v>
      </c>
      <c r="B245" s="3" t="str">
        <f>"巻2"</f>
        <v>巻2</v>
      </c>
      <c r="C245" s="3" t="str">
        <f>"支那歴史 / 莞爾生自筆 ; 巻之1-巻3 - 巻3.-- [製作者不明]; [製作年不明]."</f>
        <v>支那歴史 / 莞爾生自筆 ; 巻之1-巻3 - 巻3.-- [製作者不明]; [製作年不明].</v>
      </c>
    </row>
    <row r="246" spans="1:3" ht="11.25">
      <c r="A246" s="3" t="str">
        <f>"220/4/3/MASAOKA"</f>
        <v>220/4/3/MASAOKA</v>
      </c>
      <c r="B246" s="3" t="str">
        <f>"巻3"</f>
        <v>巻3</v>
      </c>
      <c r="C246" s="3" t="str">
        <f>"支那歴史 / 莞爾生自筆 ; 巻之1-巻3 - 巻3.-- [製作者不明]; [製作年不明]."</f>
        <v>支那歴史 / 莞爾生自筆 ; 巻之1-巻3 - 巻3.-- [製作者不明]; [製作年不明].</v>
      </c>
    </row>
    <row r="247" spans="1:3" ht="11.25">
      <c r="A247" s="3" t="str">
        <f>"222/1//MASAOKA"</f>
        <v>222/1//MASAOKA</v>
      </c>
      <c r="B247" s="3" t="str">
        <f>"第1冊"</f>
        <v>第1冊</v>
      </c>
      <c r="C247" s="3" t="str">
        <f>"校註史記読本 / 池田四郎次郎 ; 第1冊.-- 益友社; 明治26(1893)年2月."</f>
        <v>校註史記読本 / 池田四郎次郎 ; 第1冊.-- 益友社; 明治26(1893)年2月.</v>
      </c>
    </row>
    <row r="248" spans="1:3" ht="11.25">
      <c r="A248" s="3" t="str">
        <f>"281/1//MASAOKA"</f>
        <v>281/1//MASAOKA</v>
      </c>
      <c r="B248" s="3">
        <f>""</f>
      </c>
      <c r="C248" s="3" t="str">
        <f>"長元物語 / [立石正賀著].-- [製作者不明]; 延享1(1744)年5月写."</f>
        <v>長元物語 / [立石正賀著].-- [製作者不明]; 延享1(1744)年5月写.</v>
      </c>
    </row>
    <row r="249" spans="1:3" ht="11.25">
      <c r="A249" s="3" t="str">
        <f>"281/3//MASAOKA"</f>
        <v>281/3//MASAOKA</v>
      </c>
      <c r="B249" s="3">
        <f>""</f>
      </c>
      <c r="C249" s="3" t="str">
        <f>"文化武鑑 / [著者不明].-- [出版者不明]; [出版年不明]."</f>
        <v>文化武鑑 / [著者不明].-- [出版者不明]; [出版年不明].</v>
      </c>
    </row>
    <row r="250" spans="1:3" ht="11.25">
      <c r="A250" s="3" t="str">
        <f>"281/4//MASAOKA"</f>
        <v>281/4//MASAOKA</v>
      </c>
      <c r="B250" s="3">
        <f>""</f>
      </c>
      <c r="C250" s="3" t="str">
        <f>"袖珍武鑑 / [著者不明].-- 須原屋茂兵衛; 弘化3(1846)年刊."</f>
        <v>袖珍武鑑 / [著者不明].-- 須原屋茂兵衛; 弘化3(1846)年刊.</v>
      </c>
    </row>
    <row r="251" spans="1:3" ht="11.25">
      <c r="A251" s="3" t="str">
        <f>"281/5//MASAOKA"</f>
        <v>281/5//MASAOKA</v>
      </c>
      <c r="B251" s="3" t="str">
        <f>"全"</f>
        <v>全</v>
      </c>
      <c r="C251" s="3" t="str">
        <f>"武者物語 / 松田一楽入道秀任編 ; 全.-- 蕉木利兵衛; 明暦2(1656)年3月刊."</f>
        <v>武者物語 / 松田一楽入道秀任編 ; 全.-- 蕉木利兵衛; 明暦2(1656)年3月刊.</v>
      </c>
    </row>
    <row r="252" spans="1:3" ht="11.25">
      <c r="A252" s="3" t="str">
        <f>"281/6//MASAOKA"</f>
        <v>281/6//MASAOKA</v>
      </c>
      <c r="B252" s="3" t="str">
        <f>"全"</f>
        <v>全</v>
      </c>
      <c r="C252" s="3" t="str">
        <f>"官許列藩一覧 / [著者不明] ; 全.-- 須原屋茂兵衛; 明治2(1869)年6月改."</f>
        <v>官許列藩一覧 / [著者不明] ; 全.-- 須原屋茂兵衛; 明治2(1869)年6月改.</v>
      </c>
    </row>
    <row r="253" spans="1:3" ht="11.25">
      <c r="A253" s="3" t="str">
        <f>"281/7//MASAOKA"</f>
        <v>281/7//MASAOKA</v>
      </c>
      <c r="B253" s="3">
        <f>""</f>
      </c>
      <c r="C253" s="3" t="str">
        <f>"神州正気筑紫熱血 / 野上嘉三郎編纂 ; 前編.-- 国友社; 明治23(1890)年2月."</f>
        <v>神州正気筑紫熱血 / 野上嘉三郎編纂 ; 前編.-- 国友社; 明治23(1890)年2月.</v>
      </c>
    </row>
    <row r="254" spans="1:3" ht="11.25">
      <c r="A254" s="3" t="str">
        <f>"281/8/1/MASAOKA"</f>
        <v>281/8/1/MASAOKA</v>
      </c>
      <c r="B254" s="3" t="str">
        <f>"第1巻"</f>
        <v>第1巻</v>
      </c>
      <c r="C254" s="3" t="str">
        <f>"明治豪傑譚 / 鈴木光次郎編 ; 第1巻, 第2巻, 第3巻.-- 東京堂; 1891."</f>
        <v>明治豪傑譚 / 鈴木光次郎編 ; 第1巻, 第2巻, 第3巻.-- 東京堂; 1891.</v>
      </c>
    </row>
    <row r="255" spans="1:3" ht="11.25">
      <c r="A255" s="3" t="str">
        <f>"281/8/2/MASAOKA"</f>
        <v>281/8/2/MASAOKA</v>
      </c>
      <c r="B255" s="3" t="str">
        <f>"第2巻"</f>
        <v>第2巻</v>
      </c>
      <c r="C255" s="3" t="str">
        <f>"明治豪傑譚 / 鈴木光次郎編 ; 第1巻, 第2巻, 第3巻.-- 東京堂; 1891."</f>
        <v>明治豪傑譚 / 鈴木光次郎編 ; 第1巻, 第2巻, 第3巻.-- 東京堂; 1891.</v>
      </c>
    </row>
    <row r="256" spans="1:3" ht="11.25">
      <c r="A256" s="3" t="str">
        <f>"281/8/3/MASAOKA"</f>
        <v>281/8/3/MASAOKA</v>
      </c>
      <c r="B256" s="3" t="str">
        <f>"第3巻"</f>
        <v>第3巻</v>
      </c>
      <c r="C256" s="3" t="str">
        <f>"明治豪傑譚 / 鈴木光次郎編 ; 第1巻, 第2巻, 第3巻.-- 東京堂; 1891."</f>
        <v>明治豪傑譚 / 鈴木光次郎編 ; 第1巻, 第2巻, 第3巻.-- 東京堂; 1891.</v>
      </c>
    </row>
    <row r="257" spans="1:3" ht="11.25">
      <c r="A257" s="3" t="str">
        <f>"281/9//MASAOKA"</f>
        <v>281/9//MASAOKA</v>
      </c>
      <c r="B257" s="3">
        <f>""</f>
      </c>
      <c r="C257" s="3" t="str">
        <f>"近世浦賀畸人伝 / 樋口有柳著.-- [出版者不明]; 文政11(1828)年8月序."</f>
        <v>近世浦賀畸人伝 / 樋口有柳著.-- [出版者不明]; 文政11(1828)年8月序.</v>
      </c>
    </row>
    <row r="258" spans="1:3" ht="11.25">
      <c r="A258" s="3" t="str">
        <f>"281/10//MASAOKA"</f>
        <v>281/10//MASAOKA</v>
      </c>
      <c r="B258" s="3">
        <f>""</f>
      </c>
      <c r="C258" s="3" t="str">
        <f>"思ひよる日 / 古筆了悦補訂 古筆了仲増補 ; 増補.-- 赤松徳三; 明治11(1878)年12月."</f>
        <v>思ひよる日 / 古筆了悦補訂 古筆了仲増補 ; 増補.-- 赤松徳三; 明治11(1878)年12月.</v>
      </c>
    </row>
    <row r="259" spans="1:3" ht="11.25">
      <c r="A259" s="3" t="str">
        <f>"281/11//MASAOKA"</f>
        <v>281/11//MASAOKA</v>
      </c>
      <c r="B259" s="3">
        <f>""</f>
      </c>
      <c r="C259" s="3" t="str">
        <f>"東洋百花美人伝 / 白水常次郎編.-- 九春堂; 明治20(1897)年2月."</f>
        <v>東洋百花美人伝 / 白水常次郎編.-- 九春堂; 明治20(1897)年2月.</v>
      </c>
    </row>
    <row r="260" spans="1:3" ht="11.25">
      <c r="A260" s="3" t="str">
        <f>"281/12/1/MASAOKA"</f>
        <v>281/12/1/MASAOKA</v>
      </c>
      <c r="B260" s="3" t="str">
        <f>"巻之1"</f>
        <v>巻之1</v>
      </c>
      <c r="C260" s="3" t="str">
        <f>"名家略伝 / 山崎美成著 ; 巻之1-4 - 巻之4.-- 英屋文蔵; 天保13(1842)年12月刊."</f>
        <v>名家略伝 / 山崎美成著 ; 巻之1-4 - 巻之4.-- 英屋文蔵; 天保13(1842)年12月刊.</v>
      </c>
    </row>
    <row r="261" spans="1:3" ht="11.25">
      <c r="A261" s="3" t="str">
        <f>"281/12/2/MASAOKA"</f>
        <v>281/12/2/MASAOKA</v>
      </c>
      <c r="B261" s="3" t="str">
        <f>"巻之2"</f>
        <v>巻之2</v>
      </c>
      <c r="C261" s="3" t="str">
        <f>"名家略伝 / 山崎美成著 ; 巻之1-4 - 巻之4.-- 英屋文蔵; 天保13(1842)年12月刊."</f>
        <v>名家略伝 / 山崎美成著 ; 巻之1-4 - 巻之4.-- 英屋文蔵; 天保13(1842)年12月刊.</v>
      </c>
    </row>
    <row r="262" spans="1:3" ht="11.25">
      <c r="A262" s="3" t="str">
        <f>"281/12/3/MASAOKA"</f>
        <v>281/12/3/MASAOKA</v>
      </c>
      <c r="B262" s="3" t="str">
        <f>"巻之3"</f>
        <v>巻之3</v>
      </c>
      <c r="C262" s="3" t="str">
        <f>"名家略伝 / 山崎美成著 ; 巻之1-4 - 巻之4.-- 英屋文蔵; 天保13(1842)年12月刊."</f>
        <v>名家略伝 / 山崎美成著 ; 巻之1-4 - 巻之4.-- 英屋文蔵; 天保13(1842)年12月刊.</v>
      </c>
    </row>
    <row r="263" spans="1:3" ht="11.25">
      <c r="A263" s="3" t="str">
        <f>"281/12/4/MASAOKA"</f>
        <v>281/12/4/MASAOKA</v>
      </c>
      <c r="B263" s="3" t="str">
        <f>"巻之4"</f>
        <v>巻之4</v>
      </c>
      <c r="C263" s="3" t="str">
        <f>"名家略伝 / 山崎美成著 ; 巻之1-4 - 巻之4.-- 英屋文蔵; 天保13(1842)年12月刊."</f>
        <v>名家略伝 / 山崎美成著 ; 巻之1-4 - 巻之4.-- 英屋文蔵; 天保13(1842)年12月刊.</v>
      </c>
    </row>
    <row r="264" spans="1:3" ht="11.25">
      <c r="A264" s="3" t="str">
        <f>"281/13//MASAOKA"</f>
        <v>281/13//MASAOKA</v>
      </c>
      <c r="B264" s="3">
        <f>""</f>
      </c>
      <c r="C264" s="3" t="str">
        <f>"年々改正雲上明覧大全 / [西本願寺光徳府編] ; 下.-- 竹原好兵衛; 天保15(1844)年4月刊."</f>
        <v>年々改正雲上明覧大全 / [西本願寺光徳府編] ; 下.-- 竹原好兵衛; 天保15(1844)年4月刊.</v>
      </c>
    </row>
    <row r="265" spans="1:3" ht="11.25">
      <c r="A265" s="3" t="str">
        <f>"281/14/1/MASAOKA"</f>
        <v>281/14/1/MASAOKA</v>
      </c>
      <c r="B265" s="3" t="str">
        <f>"1巻"</f>
        <v>1巻</v>
      </c>
      <c r="C265" s="3" t="str">
        <f>"大東世語 / 服部南郭著 ; 1-5巻 - 5巻.-- 嵩山房; 寛延3(1750)年3月刊."</f>
        <v>大東世語 / 服部南郭著 ; 1-5巻 - 5巻.-- 嵩山房; 寛延3(1750)年3月刊.</v>
      </c>
    </row>
    <row r="266" spans="1:3" ht="11.25">
      <c r="A266" s="3" t="str">
        <f>"281/14/2/MASAOKA"</f>
        <v>281/14/2/MASAOKA</v>
      </c>
      <c r="B266" s="3" t="str">
        <f>"2巻"</f>
        <v>2巻</v>
      </c>
      <c r="C266" s="3" t="str">
        <f>"大東世語 / 服部南郭著 ; 1-5巻 - 5巻.-- 嵩山房; 寛延3(1750)年3月刊."</f>
        <v>大東世語 / 服部南郭著 ; 1-5巻 - 5巻.-- 嵩山房; 寛延3(1750)年3月刊.</v>
      </c>
    </row>
    <row r="267" spans="1:3" ht="11.25">
      <c r="A267" s="3" t="str">
        <f>"281/14/3/MASAOKA"</f>
        <v>281/14/3/MASAOKA</v>
      </c>
      <c r="B267" s="3" t="str">
        <f>"3巻"</f>
        <v>3巻</v>
      </c>
      <c r="C267" s="3" t="str">
        <f>"大東世語 / 服部南郭著 ; 1-5巻 - 5巻.-- 嵩山房; 寛延3(1750)年3月刊."</f>
        <v>大東世語 / 服部南郭著 ; 1-5巻 - 5巻.-- 嵩山房; 寛延3(1750)年3月刊.</v>
      </c>
    </row>
    <row r="268" spans="1:3" ht="11.25">
      <c r="A268" s="3" t="str">
        <f>"281/14/4/MASAOKA"</f>
        <v>281/14/4/MASAOKA</v>
      </c>
      <c r="B268" s="3" t="str">
        <f>"4巻"</f>
        <v>4巻</v>
      </c>
      <c r="C268" s="3" t="str">
        <f>"大東世語 / 服部南郭著 ; 1-5巻 - 5巻.-- 嵩山房; 寛延3(1750)年3月刊."</f>
        <v>大東世語 / 服部南郭著 ; 1-5巻 - 5巻.-- 嵩山房; 寛延3(1750)年3月刊.</v>
      </c>
    </row>
    <row r="269" spans="1:3" ht="11.25">
      <c r="A269" s="3" t="str">
        <f>"281/14/5/MASAOKA"</f>
        <v>281/14/5/MASAOKA</v>
      </c>
      <c r="B269" s="3" t="str">
        <f>"5巻"</f>
        <v>5巻</v>
      </c>
      <c r="C269" s="3" t="str">
        <f>"大東世語 / 服部南郭著 ; 1-5巻 - 5巻.-- 嵩山房; 寛延3(1750)年3月刊."</f>
        <v>大東世語 / 服部南郭著 ; 1-5巻 - 5巻.-- 嵩山房; 寛延3(1750)年3月刊.</v>
      </c>
    </row>
    <row r="270" spans="1:3" ht="11.25">
      <c r="A270" s="3" t="str">
        <f>"281/15//MASAOKA"</f>
        <v>281/15//MASAOKA</v>
      </c>
      <c r="B270" s="3" t="str">
        <f>"1"</f>
        <v>1</v>
      </c>
      <c r="C270" s="3" t="str">
        <f>"先哲像伝 / 原徳斎 ; 1.-- 裳華房; 明治30(1897)年10月."</f>
        <v>先哲像伝 / 原徳斎 ; 1.-- 裳華房; 明治30(1897)年10月.</v>
      </c>
    </row>
    <row r="271" spans="1:3" ht="11.25">
      <c r="A271" s="3" t="str">
        <f>"281/16//MASAOKA"</f>
        <v>281/16//MASAOKA</v>
      </c>
      <c r="B271" s="3">
        <f>""</f>
      </c>
      <c r="C271" s="3" t="str">
        <f>"扶桑隠逸伝 / 元政著.-- [出版者不明]; [出版年不明]."</f>
        <v>扶桑隠逸伝 / 元政著.-- [出版者不明]; [出版年不明].</v>
      </c>
    </row>
    <row r="272" spans="1:3" ht="11.25">
      <c r="A272" s="3" t="str">
        <f>"281/17/1/MASAOKA"</f>
        <v>281/17/1/MASAOKA</v>
      </c>
      <c r="B272" s="3" t="str">
        <f>"上"</f>
        <v>上</v>
      </c>
      <c r="C272" s="3" t="str">
        <f>"続扶桑隠逸伝 / 義堂著 ; 上・中・下 - 下.-- 文台屋次郎兵衛[ほか1軒]; 正徳2(1712)年刊."</f>
        <v>続扶桑隠逸伝 / 義堂著 ; 上・中・下 - 下.-- 文台屋次郎兵衛[ほか1軒]; 正徳2(1712)年刊.</v>
      </c>
    </row>
    <row r="273" spans="1:3" ht="11.25">
      <c r="A273" s="3" t="str">
        <f>"281/17/2/MASAOKA"</f>
        <v>281/17/2/MASAOKA</v>
      </c>
      <c r="B273" s="3" t="str">
        <f>"中"</f>
        <v>中</v>
      </c>
      <c r="C273" s="3" t="str">
        <f>"続扶桑隠逸伝 / 義堂著 ; 上・中・下 - 下.-- 文台屋次郎兵衛[ほか1軒]; 正徳2(1712)年刊."</f>
        <v>続扶桑隠逸伝 / 義堂著 ; 上・中・下 - 下.-- 文台屋次郎兵衛[ほか1軒]; 正徳2(1712)年刊.</v>
      </c>
    </row>
    <row r="274" spans="1:3" ht="11.25">
      <c r="A274" s="3" t="str">
        <f>"281/17/3/MASAOKA"</f>
        <v>281/17/3/MASAOKA</v>
      </c>
      <c r="B274" s="3" t="str">
        <f>"下"</f>
        <v>下</v>
      </c>
      <c r="C274" s="3" t="str">
        <f>"続扶桑隠逸伝 / 義堂著 ; 上・中・下 - 下.-- 文台屋次郎兵衛[ほか1軒]; 正徳2(1712)年刊."</f>
        <v>続扶桑隠逸伝 / 義堂著 ; 上・中・下 - 下.-- 文台屋次郎兵衛[ほか1軒]; 正徳2(1712)年刊.</v>
      </c>
    </row>
    <row r="275" spans="1:3" ht="11.25">
      <c r="A275" s="3" t="str">
        <f>"281/2//MASAOKA"</f>
        <v>281/2//MASAOKA</v>
      </c>
      <c r="B275" s="3">
        <f>""</f>
      </c>
      <c r="C275" s="3" t="str">
        <f>"文化武鑑 / [著者不明].-- 新板改正.-- [出版者不明]; [出版年不明]."</f>
        <v>文化武鑑 / [著者不明].-- 新板改正.-- [出版者不明]; [出版年不明].</v>
      </c>
    </row>
    <row r="276" spans="1:3" ht="11.25">
      <c r="A276" s="3" t="str">
        <f>"282/1//MASAOKA"</f>
        <v>282/1//MASAOKA</v>
      </c>
      <c r="B276" s="3">
        <f>""</f>
      </c>
      <c r="C276" s="3" t="str">
        <f>"[カク]小玉伝 / 将防 ; 全.-- 竹田荘; 文化7(1810)年冬跋."</f>
        <v>[カク]小玉伝 / 将防 ; 全.-- 竹田荘; 文化7(1810)年冬跋.</v>
      </c>
    </row>
    <row r="277" spans="1:3" ht="11.25">
      <c r="A277" s="3" t="str">
        <f>"282/2//MASAOKA"</f>
        <v>282/2//MASAOKA</v>
      </c>
      <c r="B277" s="3">
        <f>""</f>
      </c>
      <c r="C277" s="3" t="str">
        <f>"東大陸人豪伝 冒頓 / 三宅雪嶺述.-- 政教社; 明治30(1897)年."</f>
        <v>東大陸人豪伝 冒頓 / 三宅雪嶺述.-- 政教社; 明治30(1897)年.</v>
      </c>
    </row>
    <row r="278" spans="1:3" ht="11.25">
      <c r="A278" s="3" t="str">
        <f>"288/1//MASAOKA"</f>
        <v>288/1//MASAOKA</v>
      </c>
      <c r="B278" s="3">
        <f>""</f>
      </c>
      <c r="C278" s="3" t="str">
        <f>"名乗字引 / [高井伴寛(蘭山)編].-- [出版者不明]; 明治4(1871)年5月."</f>
        <v>名乗字引 / [高井伴寛(蘭山)編].-- [出版者不明]; 明治4(1871)年5月.</v>
      </c>
    </row>
    <row r="279" spans="1:3" ht="11.25">
      <c r="A279" s="3" t="str">
        <f>"288/2//MASAOKA"</f>
        <v>288/2//MASAOKA</v>
      </c>
      <c r="B279" s="3">
        <f>""</f>
      </c>
      <c r="C279" s="3" t="str">
        <f>"徳川諸大名系図 / [著者不明].-- [出版者不明]; [出版年不明]."</f>
        <v>徳川諸大名系図 / [著者不明].-- [出版者不明]; [出版年不明].</v>
      </c>
    </row>
    <row r="280" spans="1:3" ht="11.25">
      <c r="A280" s="3" t="str">
        <f>"288/4//MASAOKA"</f>
        <v>288/4//MASAOKA</v>
      </c>
      <c r="B280" s="3" t="str">
        <f>"完"</f>
        <v>完</v>
      </c>
      <c r="C280" s="3" t="str">
        <f>"徳川加除封録 / 清田黙著 ; 完.-- 鴎夢吟社; 明治24(1891)年2月."</f>
        <v>徳川加除封録 / 清田黙著 ; 完.-- 鴎夢吟社; 明治24(1891)年2月.</v>
      </c>
    </row>
    <row r="281" spans="1:3" ht="11.25">
      <c r="A281" s="3" t="str">
        <f>"288/5//MASAOKA"</f>
        <v>288/5//MASAOKA</v>
      </c>
      <c r="B281" s="3">
        <f>""</f>
      </c>
      <c r="C281" s="3" t="str">
        <f>"新撰姓氏録抄 / [万多親王ほか].-- [製作者不明]; 寛文9(1669)年3月後序."</f>
        <v>新撰姓氏録抄 / [万多親王ほか].-- [製作者不明]; 寛文9(1669)年3月後序.</v>
      </c>
    </row>
    <row r="282" spans="1:3" ht="11.25">
      <c r="A282" s="3" t="str">
        <f>"289.1/1//MASAOKA"</f>
        <v>289.1/1//MASAOKA</v>
      </c>
      <c r="B282" s="3">
        <f>""</f>
      </c>
      <c r="C282" s="3" t="str">
        <f>"平田篤胤 / 長田権次郎.-- 裳華房; 明治29(1896)年.-- (偉人史叢 ; 第4巻)."</f>
        <v>平田篤胤 / 長田権次郎.-- 裳華房; 明治29(1896)年.-- (偉人史叢 ; 第4巻).</v>
      </c>
    </row>
    <row r="283" spans="1:3" ht="11.25">
      <c r="A283" s="3" t="str">
        <f>"291/1//MASAOKA"</f>
        <v>291/1//MASAOKA</v>
      </c>
      <c r="B283" s="3">
        <f>""</f>
      </c>
      <c r="C283" s="3" t="str">
        <f>"日本地誌略訳語 / 西野古海編.-- 山田藤助; 明治8(1875)年4月序."</f>
        <v>日本地誌略訳語 / 西野古海編.-- 山田藤助; 明治8(1875)年4月序.</v>
      </c>
    </row>
    <row r="284" spans="1:3" ht="11.25">
      <c r="A284" s="3" t="str">
        <f>"291.2/1//MASAOKA"</f>
        <v>291.2/1//MASAOKA</v>
      </c>
      <c r="B284" s="3">
        <f>""</f>
      </c>
      <c r="C284" s="3" t="str">
        <f>"終北録一名戌唐太日記 / [高津泰著].-- 会津高橋氏友干亭; 安政4(1857)年4月跋."</f>
        <v>終北録一名戌唐太日記 / [高津泰著].-- 会津高橋氏友干亭; 安政4(1857)年4月跋.</v>
      </c>
    </row>
    <row r="285" spans="1:3" ht="11.25">
      <c r="A285" s="3" t="str">
        <f>"291.3/1//MASAOKA"</f>
        <v>291.3/1//MASAOKA</v>
      </c>
      <c r="B285" s="3" t="str">
        <f>"全"</f>
        <v>全</v>
      </c>
      <c r="C285" s="3" t="str">
        <f>"鎌倉名勝誌 / 中川喜雲 ; 全.-- 松葉軒万屋清兵衛; 享保20(1735)年刊."</f>
        <v>鎌倉名勝誌 / 中川喜雲 ; 全.-- 松葉軒万屋清兵衛; 享保20(1735)年刊.</v>
      </c>
    </row>
    <row r="286" spans="1:3" ht="11.25">
      <c r="A286" s="3" t="str">
        <f>"291.3/2//MASAOKA"</f>
        <v>291.3/2//MASAOKA</v>
      </c>
      <c r="B286" s="3" t="str">
        <f>"合巻全"</f>
        <v>合巻全</v>
      </c>
      <c r="C286" s="3" t="str">
        <f>"大磯名勝誌 . 相州大山記 / 一嚢一?道人 ; 合巻全.-- 天籟書屋; 明治22(1889)年8月."</f>
        <v>大磯名勝誌 . 相州大山記 / 一嚢一?道人 ; 合巻全.-- 天籟書屋; 明治22(1889)年8月.</v>
      </c>
    </row>
    <row r="287" spans="1:3" ht="11.25">
      <c r="A287" s="3" t="str">
        <f>"291.3/3//MASAOKA"</f>
        <v>291.3/3//MASAOKA</v>
      </c>
      <c r="B287" s="3" t="str">
        <f>"全"</f>
        <v>全</v>
      </c>
      <c r="C287" s="3" t="str">
        <f>"墨水遊覧誌 / 花屋敷菊[ウ]編 ; 全.-- 花屋鋪; 文政11(1828)年序."</f>
        <v>墨水遊覧誌 / 花屋敷菊[ウ]編 ; 全.-- 花屋鋪; 文政11(1828)年序.</v>
      </c>
    </row>
    <row r="288" spans="1:3" ht="11.25">
      <c r="A288" s="3" t="str">
        <f>"291.3/4//MASAOKA"</f>
        <v>291.3/4//MASAOKA</v>
      </c>
      <c r="B288" s="3" t="str">
        <f>"4-6"</f>
        <v>4-6</v>
      </c>
      <c r="C288" s="3" t="str">
        <f>"東海道名所図会 / 秋里舜福編 ; 4-6.-- 原喜兵衛[ほか8軒]; 寛政9(1797)年11月刊."</f>
        <v>東海道名所図会 / 秋里舜福編 ; 4-6.-- 原喜兵衛[ほか8軒]; 寛政9(1797)年11月刊.</v>
      </c>
    </row>
    <row r="289" spans="1:3" ht="11.25">
      <c r="A289" s="3" t="str">
        <f>"291.3/5/1/MASAOKA"</f>
        <v>291.3/5/1/MASAOKA</v>
      </c>
      <c r="B289" s="3" t="str">
        <f>"1巻"</f>
        <v>1巻</v>
      </c>
      <c r="C289" s="3" t="str">
        <f aca="true" t="shared" si="9" ref="C289:C294">"新撰江戸砂子 / [菊岡沾凉] ; 1-6巻 - 6巻.-- 万屋清兵衛; 亨保17(1732)年刊."</f>
        <v>新撰江戸砂子 / [菊岡沾凉] ; 1-6巻 - 6巻.-- 万屋清兵衛; 亨保17(1732)年刊.</v>
      </c>
    </row>
    <row r="290" spans="1:3" ht="11.25">
      <c r="A290" s="3" t="str">
        <f>"291.3/5/2/MASAOKA"</f>
        <v>291.3/5/2/MASAOKA</v>
      </c>
      <c r="B290" s="3" t="str">
        <f>"2巻"</f>
        <v>2巻</v>
      </c>
      <c r="C290" s="3" t="str">
        <f t="shared" si="9"/>
        <v>新撰江戸砂子 / [菊岡沾凉] ; 1-6巻 - 6巻.-- 万屋清兵衛; 亨保17(1732)年刊.</v>
      </c>
    </row>
    <row r="291" spans="1:3" ht="11.25">
      <c r="A291" s="3" t="str">
        <f>"291.3/5/3/MASAOKA"</f>
        <v>291.3/5/3/MASAOKA</v>
      </c>
      <c r="B291" s="3" t="str">
        <f>"3巻"</f>
        <v>3巻</v>
      </c>
      <c r="C291" s="3" t="str">
        <f t="shared" si="9"/>
        <v>新撰江戸砂子 / [菊岡沾凉] ; 1-6巻 - 6巻.-- 万屋清兵衛; 亨保17(1732)年刊.</v>
      </c>
    </row>
    <row r="292" spans="1:3" ht="11.25">
      <c r="A292" s="3" t="str">
        <f>"291.3/5/4/MASAOKA"</f>
        <v>291.3/5/4/MASAOKA</v>
      </c>
      <c r="B292" s="3" t="str">
        <f>"4巻"</f>
        <v>4巻</v>
      </c>
      <c r="C292" s="3" t="str">
        <f t="shared" si="9"/>
        <v>新撰江戸砂子 / [菊岡沾凉] ; 1-6巻 - 6巻.-- 万屋清兵衛; 亨保17(1732)年刊.</v>
      </c>
    </row>
    <row r="293" spans="1:3" ht="11.25">
      <c r="A293" s="3" t="str">
        <f>"291.3/5/5/MASAOKA"</f>
        <v>291.3/5/5/MASAOKA</v>
      </c>
      <c r="B293" s="3" t="str">
        <f>"5巻"</f>
        <v>5巻</v>
      </c>
      <c r="C293" s="3" t="str">
        <f t="shared" si="9"/>
        <v>新撰江戸砂子 / [菊岡沾凉] ; 1-6巻 - 6巻.-- 万屋清兵衛; 亨保17(1732)年刊.</v>
      </c>
    </row>
    <row r="294" spans="1:3" ht="11.25">
      <c r="A294" s="3" t="str">
        <f>"291.3/5/6/MASAOKA"</f>
        <v>291.3/5/6/MASAOKA</v>
      </c>
      <c r="B294" s="3" t="str">
        <f>"6巻"</f>
        <v>6巻</v>
      </c>
      <c r="C294" s="3" t="str">
        <f t="shared" si="9"/>
        <v>新撰江戸砂子 / [菊岡沾凉] ; 1-6巻 - 6巻.-- 万屋清兵衛; 亨保17(1732)年刊.</v>
      </c>
    </row>
    <row r="295" spans="1:3" ht="11.25">
      <c r="A295" s="3" t="str">
        <f>"291.4/1/1/MASAOKA"</f>
        <v>291.4/1/1/MASAOKA</v>
      </c>
      <c r="B295" s="3" t="str">
        <f>"乾"</f>
        <v>乾</v>
      </c>
      <c r="C295" s="3" t="str">
        <f>"兼六公園誌 / 小川穂輯 ; 乾・坤, 乾, 坤.-- 近田太三郎; 明治27(1894)年5月."</f>
        <v>兼六公園誌 / 小川穂輯 ; 乾・坤, 乾, 坤.-- 近田太三郎; 明治27(1894)年5月.</v>
      </c>
    </row>
    <row r="296" spans="1:3" ht="11.25">
      <c r="A296" s="3" t="str">
        <f>"291.4/1/2/MASAOKA"</f>
        <v>291.4/1/2/MASAOKA</v>
      </c>
      <c r="B296" s="3" t="str">
        <f>"坤"</f>
        <v>坤</v>
      </c>
      <c r="C296" s="3" t="str">
        <f>"兼六公園誌 / 小川穂輯 ; 乾・坤, 乾, 坤.-- 近田太三郎; 明治27(1894)年5月."</f>
        <v>兼六公園誌 / 小川穂輯 ; 乾・坤, 乾, 坤.-- 近田太三郎; 明治27(1894)年5月.</v>
      </c>
    </row>
    <row r="297" spans="1:3" ht="11.25">
      <c r="A297" s="3" t="str">
        <f>"291.5/1//MASAOKA"</f>
        <v>291.5/1//MASAOKA</v>
      </c>
      <c r="B297" s="3">
        <f>""</f>
      </c>
      <c r="C297" s="3" t="str">
        <f>"信濃国全図 / [嶋津忠貞].-- 嶋津得二; 明治24(1891)年4月."</f>
        <v>信濃国全図 / [嶋津忠貞].-- 嶋津得二; 明治24(1891)年4月.</v>
      </c>
    </row>
    <row r="298" spans="1:3" ht="11.25">
      <c r="A298" s="3" t="str">
        <f>"291.5/2//MASAOKA"</f>
        <v>291.5/2//MASAOKA</v>
      </c>
      <c r="B298" s="3">
        <f>""</f>
      </c>
      <c r="C298" s="3" t="str">
        <f>"御嶽山由来記 / 今井弘 ; 全.-- 今井弘; 明治16(1883)年1月."</f>
        <v>御嶽山由来記 / 今井弘 ; 全.-- 今井弘; 明治16(1883)年1月.</v>
      </c>
    </row>
    <row r="299" spans="1:3" ht="11.25">
      <c r="A299" s="3" t="str">
        <f>"291.5/3//MASAOKA"</f>
        <v>291.5/3//MASAOKA</v>
      </c>
      <c r="B299" s="3">
        <f>""</f>
      </c>
      <c r="C299" s="3" t="str">
        <f>"寝覚浦島寺略縁起 / [著者不明].-- [出版者不明]; [宝暦6年(1756)年刊]."</f>
        <v>寝覚浦島寺略縁起 / [著者不明].-- [出版者不明]; [宝暦6年(1756)年刊].</v>
      </c>
    </row>
    <row r="300" spans="1:3" ht="11.25">
      <c r="A300" s="3" t="str">
        <f>"291.7/1//MASAOKA"</f>
        <v>291.7/1//MASAOKA</v>
      </c>
      <c r="B300" s="3" t="str">
        <f>"全"</f>
        <v>全</v>
      </c>
      <c r="C300" s="3" t="str">
        <f>"修正厳島宮路之枝折 / 村田良穂編 ; 全.-- 以文社; 明治17(1884)年7月."</f>
        <v>修正厳島宮路之枝折 / 村田良穂編 ; 全.-- 以文社; 明治17(1884)年7月.</v>
      </c>
    </row>
    <row r="301" spans="1:3" ht="11.25">
      <c r="A301" s="3" t="str">
        <f>"291.8/1//MASAOKA"</f>
        <v>291.8/1//MASAOKA</v>
      </c>
      <c r="B301" s="3" t="str">
        <f>"全"</f>
        <v>全</v>
      </c>
      <c r="C301" s="3" t="str">
        <f>"扶桑樹伝 / 明月 ; 全.-- 汲々堂; 明治29(1896)年11月."</f>
        <v>扶桑樹伝 / 明月 ; 全.-- 汲々堂; 明治29(1896)年11月.</v>
      </c>
    </row>
    <row r="302" spans="1:3" ht="11.25">
      <c r="A302" s="3" t="str">
        <f>"291/2/1/MASAOKA"</f>
        <v>291/2/1/MASAOKA</v>
      </c>
      <c r="B302" s="3" t="str">
        <f>"巻之上1"</f>
        <v>巻之上1</v>
      </c>
      <c r="C302" s="3" t="str">
        <f>"新刊人国記 / [著者不明] ; 巻之上1・上2・下2 - 巻之下2.-- 須原屋茂兵衛; 元禄14(1701)年刊."</f>
        <v>新刊人国記 / [著者不明] ; 巻之上1・上2・下2 - 巻之下2.-- 須原屋茂兵衛; 元禄14(1701)年刊.</v>
      </c>
    </row>
    <row r="303" spans="1:3" ht="11.25">
      <c r="A303" s="3" t="str">
        <f>"291/2/2/MASAOKA"</f>
        <v>291/2/2/MASAOKA</v>
      </c>
      <c r="B303" s="3" t="str">
        <f>"巻之上2"</f>
        <v>巻之上2</v>
      </c>
      <c r="C303" s="3" t="str">
        <f>"新刊人国記 / [著者不明] ; 巻之上1・上2・下2 - 巻之下2.-- 須原屋茂兵衛; 元禄14(1701)年刊."</f>
        <v>新刊人国記 / [著者不明] ; 巻之上1・上2・下2 - 巻之下2.-- 須原屋茂兵衛; 元禄14(1701)年刊.</v>
      </c>
    </row>
    <row r="304" spans="1:3" ht="11.25">
      <c r="A304" s="3" t="str">
        <f>"291/2/3/MASAOKA"</f>
        <v>291/2/3/MASAOKA</v>
      </c>
      <c r="B304" s="3" t="str">
        <f>"巻之下2"</f>
        <v>巻之下2</v>
      </c>
      <c r="C304" s="3" t="str">
        <f>"新刊人国記 / [著者不明] ; 巻之上1・上2・下2 - 巻之下2.-- 須原屋茂兵衛; 元禄14(1701)年刊."</f>
        <v>新刊人国記 / [著者不明] ; 巻之上1・上2・下2 - 巻之下2.-- 須原屋茂兵衛; 元禄14(1701)年刊.</v>
      </c>
    </row>
    <row r="305" spans="1:3" ht="11.25">
      <c r="A305" s="3" t="str">
        <f>"291/2/3b/MASAOKA"</f>
        <v>291/2/3b/MASAOKA</v>
      </c>
      <c r="B305" s="3" t="str">
        <f>"巻之下"</f>
        <v>巻之下</v>
      </c>
      <c r="C305" s="3" t="str">
        <f>"人国記 / [著者不明] ; 巻ノ下, 巻之下.-- [製作者不明]; [製作年不明]."</f>
        <v>人国記 / [著者不明] ; 巻ノ下, 巻之下.-- [製作者不明]; [製作年不明].</v>
      </c>
    </row>
    <row r="306" spans="1:3" ht="11.25">
      <c r="A306" s="3" t="str">
        <f>"291/3//MASAOKA"</f>
        <v>291/3//MASAOKA</v>
      </c>
      <c r="B306" s="3" t="str">
        <f>"全"</f>
        <v>全</v>
      </c>
      <c r="C306" s="3" t="str">
        <f>"鎌倉名所記 . 金沢八景案内子 . 金沢能見堂八景縁起 / [著者不明] ; 全.-- 大坂屋; [出版年不明]."</f>
        <v>鎌倉名所記 . 金沢八景案内子 . 金沢能見堂八景縁起 / [著者不明] ; 全.-- 大坂屋; [出版年不明].</v>
      </c>
    </row>
    <row r="307" spans="1:3" ht="11.25">
      <c r="A307" s="3" t="str">
        <f>"291/4/1/MASAOKA"</f>
        <v>291/4/1/MASAOKA</v>
      </c>
      <c r="B307" s="3" t="str">
        <f>"天"</f>
        <v>天</v>
      </c>
      <c r="C307" s="3" t="str">
        <f>"日本名山図会 / 谷文晁画 河村元善編 ; 天・地・下 - 下.-- 須原屋茂兵衛; 文化9(1812)年5月刊."</f>
        <v>日本名山図会 / 谷文晁画 河村元善編 ; 天・地・下 - 下.-- 須原屋茂兵衛; 文化9(1812)年5月刊.</v>
      </c>
    </row>
    <row r="308" spans="1:3" ht="11.25">
      <c r="A308" s="3" t="str">
        <f>"291/4/2/MASAOKA"</f>
        <v>291/4/2/MASAOKA</v>
      </c>
      <c r="B308" s="3" t="str">
        <f>"地"</f>
        <v>地</v>
      </c>
      <c r="C308" s="3" t="str">
        <f>"日本名山図会 / 谷文晁画 河村元善編 ; 天・地・下 - 下.-- 須原屋茂兵衛; 文化9(1812)年5月刊."</f>
        <v>日本名山図会 / 谷文晁画 河村元善編 ; 天・地・下 - 下.-- 須原屋茂兵衛; 文化9(1812)年5月刊.</v>
      </c>
    </row>
    <row r="309" spans="1:3" ht="11.25">
      <c r="A309" s="3" t="str">
        <f>"291/4/3/MASAOKA"</f>
        <v>291/4/3/MASAOKA</v>
      </c>
      <c r="B309" s="3" t="str">
        <f>"下"</f>
        <v>下</v>
      </c>
      <c r="C309" s="3" t="str">
        <f>"日本名山図会 / 谷文晁画 河村元善編 ; 天・地・下 - 下.-- 須原屋茂兵衛; 文化9(1812)年5月刊."</f>
        <v>日本名山図会 / 谷文晁画 河村元善編 ; 天・地・下 - 下.-- 須原屋茂兵衛; 文化9(1812)年5月刊.</v>
      </c>
    </row>
    <row r="310" spans="1:3" ht="11.25">
      <c r="A310" s="3" t="str">
        <f>"291/5/1/MASAOKA"</f>
        <v>291/5/1/MASAOKA</v>
      </c>
      <c r="B310" s="3" t="str">
        <f>"1"</f>
        <v>1</v>
      </c>
      <c r="C310" s="3" t="str">
        <f>"大和名所図会 / [秋里籬島 竹原信繁画] ; 1-5 - 5.-- [出版者不明]; [寛政3(1791)年自跋]."</f>
        <v>大和名所図会 / [秋里籬島 竹原信繁画] ; 1-5 - 5.-- [出版者不明]; [寛政3(1791)年自跋].</v>
      </c>
    </row>
    <row r="311" spans="1:3" ht="11.25">
      <c r="A311" s="3" t="str">
        <f>"291/5/2/MASAOKA"</f>
        <v>291/5/2/MASAOKA</v>
      </c>
      <c r="B311" s="3" t="str">
        <f>"2"</f>
        <v>2</v>
      </c>
      <c r="C311" s="3" t="str">
        <f>"大和名所図会 / [秋里籬島 竹原信繁画] ; 1-5 - 5.-- [出版者不明]; [寛政3(1791)年自跋]."</f>
        <v>大和名所図会 / [秋里籬島 竹原信繁画] ; 1-5 - 5.-- [出版者不明]; [寛政3(1791)年自跋].</v>
      </c>
    </row>
    <row r="312" spans="1:3" ht="11.25">
      <c r="A312" s="3" t="str">
        <f>"291/5/3/MASAOKA"</f>
        <v>291/5/3/MASAOKA</v>
      </c>
      <c r="B312" s="3" t="str">
        <f>"3"</f>
        <v>3</v>
      </c>
      <c r="C312" s="3" t="str">
        <f>"大和名所図会 / [秋里籬島 竹原信繁画] ; 1-5 - 5.-- [出版者不明]; [寛政3(1791)年自跋]."</f>
        <v>大和名所図会 / [秋里籬島 竹原信繁画] ; 1-5 - 5.-- [出版者不明]; [寛政3(1791)年自跋].</v>
      </c>
    </row>
    <row r="313" spans="1:3" ht="11.25">
      <c r="A313" s="3" t="str">
        <f>"291/5/4/MASAOKA"</f>
        <v>291/5/4/MASAOKA</v>
      </c>
      <c r="B313" s="3" t="str">
        <f>"4"</f>
        <v>4</v>
      </c>
      <c r="C313" s="3" t="str">
        <f>"大和名所図会 / [秋里籬島 竹原信繁画] ; 1-5 - 5.-- [出版者不明]; [寛政3(1791)年自跋]."</f>
        <v>大和名所図会 / [秋里籬島 竹原信繁画] ; 1-5 - 5.-- [出版者不明]; [寛政3(1791)年自跋].</v>
      </c>
    </row>
    <row r="314" spans="1:3" ht="11.25">
      <c r="A314" s="3" t="str">
        <f>"291/5/5/MASAOKA"</f>
        <v>291/5/5/MASAOKA</v>
      </c>
      <c r="B314" s="3" t="str">
        <f>"5"</f>
        <v>5</v>
      </c>
      <c r="C314" s="3" t="str">
        <f>"大和名所図会 / [秋里籬島 竹原信繁画] ; 1-5 - 5.-- [出版者不明]; [寛政3(1791)年自跋]."</f>
        <v>大和名所図会 / [秋里籬島 竹原信繁画] ; 1-5 - 5.-- [出版者不明]; [寛政3(1791)年自跋].</v>
      </c>
    </row>
    <row r="315" spans="1:3" ht="11.25">
      <c r="A315" s="3" t="str">
        <f>"292.2/1//MASAOKA"</f>
        <v>292.2/1//MASAOKA</v>
      </c>
      <c r="B315" s="3">
        <f>""</f>
      </c>
      <c r="C315" s="3" t="str">
        <f>"呉舩録一名出蜀記行 / 范至能 ; 巻下.-- [出版者不明]; [出版年不明]."</f>
        <v>呉舩録一名出蜀記行 / 范至能 ; 巻下.-- [出版者不明]; [出版年不明].</v>
      </c>
    </row>
    <row r="316" spans="1:3" ht="11.25">
      <c r="A316" s="3" t="str">
        <f>"292.2/2/1/MASAOKA"</f>
        <v>292.2/2/1/MASAOKA</v>
      </c>
      <c r="B316" s="3" t="str">
        <f>"1"</f>
        <v>1</v>
      </c>
      <c r="C316" s="3" t="str">
        <f aca="true" t="shared" si="10" ref="C316:C323">"都門紀略 / 李鴻達 ; 1-8 - 8.-- 増補.-- [出版者不明]; 光緒5(1879)年刊."</f>
        <v>都門紀略 / 李鴻達 ; 1-8 - 8.-- 増補.-- [出版者不明]; 光緒5(1879)年刊.</v>
      </c>
    </row>
    <row r="317" spans="1:3" ht="11.25">
      <c r="A317" s="3" t="str">
        <f>"292.2/2/2/MASAOKA"</f>
        <v>292.2/2/2/MASAOKA</v>
      </c>
      <c r="B317" s="3" t="str">
        <f>"2"</f>
        <v>2</v>
      </c>
      <c r="C317" s="3" t="str">
        <f t="shared" si="10"/>
        <v>都門紀略 / 李鴻達 ; 1-8 - 8.-- 増補.-- [出版者不明]; 光緒5(1879)年刊.</v>
      </c>
    </row>
    <row r="318" spans="1:3" ht="11.25">
      <c r="A318" s="3" t="str">
        <f>"292.2/2/3/MASAOKA"</f>
        <v>292.2/2/3/MASAOKA</v>
      </c>
      <c r="B318" s="3" t="str">
        <f>"3"</f>
        <v>3</v>
      </c>
      <c r="C318" s="3" t="str">
        <f t="shared" si="10"/>
        <v>都門紀略 / 李鴻達 ; 1-8 - 8.-- 増補.-- [出版者不明]; 光緒5(1879)年刊.</v>
      </c>
    </row>
    <row r="319" spans="1:3" ht="11.25">
      <c r="A319" s="3" t="str">
        <f>"292.2/2/4/MASAOKA"</f>
        <v>292.2/2/4/MASAOKA</v>
      </c>
      <c r="B319" s="3" t="str">
        <f>"4"</f>
        <v>4</v>
      </c>
      <c r="C319" s="3" t="str">
        <f t="shared" si="10"/>
        <v>都門紀略 / 李鴻達 ; 1-8 - 8.-- 増補.-- [出版者不明]; 光緒5(1879)年刊.</v>
      </c>
    </row>
    <row r="320" spans="1:3" ht="11.25">
      <c r="A320" s="3" t="str">
        <f>"292.2/2/5/MASAOKA"</f>
        <v>292.2/2/5/MASAOKA</v>
      </c>
      <c r="B320" s="3" t="str">
        <f>"5"</f>
        <v>5</v>
      </c>
      <c r="C320" s="3" t="str">
        <f t="shared" si="10"/>
        <v>都門紀略 / 李鴻達 ; 1-8 - 8.-- 増補.-- [出版者不明]; 光緒5(1879)年刊.</v>
      </c>
    </row>
    <row r="321" spans="1:3" ht="11.25">
      <c r="A321" s="3" t="str">
        <f>"292.2/2/6/MASAOKA"</f>
        <v>292.2/2/6/MASAOKA</v>
      </c>
      <c r="B321" s="3" t="str">
        <f>"6"</f>
        <v>6</v>
      </c>
      <c r="C321" s="3" t="str">
        <f t="shared" si="10"/>
        <v>都門紀略 / 李鴻達 ; 1-8 - 8.-- 増補.-- [出版者不明]; 光緒5(1879)年刊.</v>
      </c>
    </row>
    <row r="322" spans="1:3" ht="11.25">
      <c r="A322" s="3" t="str">
        <f>"292.2/2/7/MASAOKA"</f>
        <v>292.2/2/7/MASAOKA</v>
      </c>
      <c r="B322" s="3" t="str">
        <f>"7"</f>
        <v>7</v>
      </c>
      <c r="C322" s="3" t="str">
        <f t="shared" si="10"/>
        <v>都門紀略 / 李鴻達 ; 1-8 - 8.-- 増補.-- [出版者不明]; 光緒5(1879)年刊.</v>
      </c>
    </row>
    <row r="323" spans="1:3" ht="11.25">
      <c r="A323" s="3" t="str">
        <f>"292.2/2/8/MASAOKA"</f>
        <v>292.2/2/8/MASAOKA</v>
      </c>
      <c r="B323" s="3" t="str">
        <f>"8"</f>
        <v>8</v>
      </c>
      <c r="C323" s="3" t="str">
        <f t="shared" si="10"/>
        <v>都門紀略 / 李鴻達 ; 1-8 - 8.-- 増補.-- [出版者不明]; 光緒5(1879)年刊.</v>
      </c>
    </row>
    <row r="324" spans="1:3" ht="11.25">
      <c r="A324" s="3" t="str">
        <f>"292.2/3/1/MASAOKA"</f>
        <v>292.2/3/1/MASAOKA</v>
      </c>
      <c r="B324" s="3" t="str">
        <f>"乾"</f>
        <v>乾</v>
      </c>
      <c r="C324" s="3" t="str">
        <f>"遊名山記 / 玄敬 ; 乾・坤, 乾, 坤.-- 積書堂吉田屋治兵衛; 文政9(1826)年10月刊."</f>
        <v>遊名山記 / 玄敬 ; 乾・坤, 乾, 坤.-- 積書堂吉田屋治兵衛; 文政9(1826)年10月刊.</v>
      </c>
    </row>
    <row r="325" spans="1:3" ht="11.25">
      <c r="A325" s="3" t="str">
        <f>"292.2/3/2/MASAOKA"</f>
        <v>292.2/3/2/MASAOKA</v>
      </c>
      <c r="B325" s="3" t="str">
        <f>"坤"</f>
        <v>坤</v>
      </c>
      <c r="C325" s="3" t="str">
        <f>"遊名山記 / 玄敬 ; 乾・坤, 乾, 坤.-- 積書堂吉田屋治兵衛; 文政9(1826)年10月刊."</f>
        <v>遊名山記 / 玄敬 ; 乾・坤, 乾, 坤.-- 積書堂吉田屋治兵衛; 文政9(1826)年10月刊.</v>
      </c>
    </row>
    <row r="326" spans="1:3" ht="11.25">
      <c r="A326" s="3" t="str">
        <f>"310/1//MASAOKA"</f>
        <v>310/1//MASAOKA</v>
      </c>
      <c r="B326" s="3" t="str">
        <f>"第1集"</f>
        <v>第1集</v>
      </c>
      <c r="C326" s="3" t="str">
        <f>"嘯耕園叢書 / 島弘尾[編] ; 第1集.-- 嘯耕園; 明治34(1901)年5月."</f>
        <v>嘯耕園叢書 / 島弘尾[編] ; 第1集.-- 嘯耕園; 明治34(1901)年5月.</v>
      </c>
    </row>
    <row r="327" spans="1:3" ht="11.25">
      <c r="A327" s="3" t="str">
        <f>"312.1/1//MASAOKA"</f>
        <v>312.1/1//MASAOKA</v>
      </c>
      <c r="B327" s="3">
        <f>""</f>
      </c>
      <c r="C327" s="3" t="str">
        <f>"諸御役目録 / [著者不明].-- 須原屋茂兵衛; 文化14(1817)年刊."</f>
        <v>諸御役目録 / [著者不明].-- 須原屋茂兵衛; 文化14(1817)年刊.</v>
      </c>
    </row>
    <row r="328" spans="1:3" ht="11.25">
      <c r="A328" s="3" t="str">
        <f>"312.1/2//MASAOKA"</f>
        <v>312.1/2//MASAOKA</v>
      </c>
      <c r="B328" s="3">
        <f>""</f>
      </c>
      <c r="C328" s="3" t="str">
        <f>"諸御役目録 / [著者不明].-- [出版者不明]; [安永6(1777)年]."</f>
        <v>諸御役目録 / [著者不明].-- [出版者不明]; [安永6(1777)年].</v>
      </c>
    </row>
    <row r="329" spans="1:3" ht="11.25">
      <c r="A329" s="3" t="str">
        <f>"319/1//MASAOKA"</f>
        <v>319/1//MASAOKA</v>
      </c>
      <c r="B329" s="3">
        <f>""</f>
      </c>
      <c r="C329" s="3" t="str">
        <f>"朝鮮人来朝物語 / [著者不明].-- 菊屋七郎兵衛; 宝暦13(1763)年3月刊."</f>
        <v>朝鮮人来朝物語 / [著者不明].-- 菊屋七郎兵衛; 宝暦13(1763)年3月刊.</v>
      </c>
    </row>
    <row r="330" spans="1:3" ht="11.25">
      <c r="A330" s="3" t="str">
        <f>"320/1//MASAOKA"</f>
        <v>320/1//MASAOKA</v>
      </c>
      <c r="B330" s="3" t="str">
        <f>"全"</f>
        <v>全</v>
      </c>
      <c r="C330" s="3" t="str">
        <f>"外権内侵録 / 佐々木正綱編 ; 全.-- 八尾書店; 明治27(1894)年2月.-- (日本叢書)."</f>
        <v>外権内侵録 / 佐々木正綱編 ; 全.-- 八尾書店; 明治27(1894)年2月.-- (日本叢書).</v>
      </c>
    </row>
    <row r="331" spans="1:3" ht="11.25">
      <c r="A331" s="3" t="str">
        <f>"320/2//MASAOKA"</f>
        <v>320/2//MASAOKA</v>
      </c>
      <c r="B331" s="3">
        <f>""</f>
      </c>
      <c r="C331" s="3" t="str">
        <f>"旧幕府御定書同例書 / [著者不明].-- [出版者不明]; [出版年地不明]."</f>
        <v>旧幕府御定書同例書 / [著者不明].-- [出版者不明]; [出版年地不明].</v>
      </c>
    </row>
    <row r="332" spans="1:3" ht="11.25">
      <c r="A332" s="3" t="str">
        <f>"322.1/1/1/MASAOKA"</f>
        <v>322.1/1/1/MASAOKA</v>
      </c>
      <c r="B332" s="3" t="str">
        <f>"上"</f>
        <v>上</v>
      </c>
      <c r="C332" s="3" t="str">
        <f>"職原抄 ; 上・下巻, 上, 下.-- 平野屋佐兵衛; [出版年不明]."</f>
        <v>職原抄 ; 上・下巻, 上, 下.-- 平野屋佐兵衛; [出版年不明].</v>
      </c>
    </row>
    <row r="333" spans="1:3" ht="11.25">
      <c r="A333" s="3" t="str">
        <f>"322.1/1/2/MASAOKA"</f>
        <v>322.1/1/2/MASAOKA</v>
      </c>
      <c r="B333" s="3" t="str">
        <f>"下"</f>
        <v>下</v>
      </c>
      <c r="C333" s="3" t="str">
        <f>"職原抄 ; 上・下巻, 上, 下.-- 平野屋佐兵衛; [出版年不明]."</f>
        <v>職原抄 ; 上・下巻, 上, 下.-- 平野屋佐兵衛; [出版年不明].</v>
      </c>
    </row>
    <row r="334" spans="1:3" ht="11.25">
      <c r="A334" s="3" t="str">
        <f>"323.1/1//MASAOKA"</f>
        <v>323.1/1//MASAOKA</v>
      </c>
      <c r="B334" s="3" t="str">
        <f>"第7号附録"</f>
        <v>第7号附録</v>
      </c>
      <c r="C334" s="3" t="str">
        <f>"日本 / 菅原求編 ; 第7号附録.-- 日本新聞社; 明治22(1889)年2月."</f>
        <v>日本 / 菅原求編 ; 第7号附録.-- 日本新聞社; 明治22(1889)年2月.</v>
      </c>
    </row>
    <row r="335" spans="1:3" ht="11.25">
      <c r="A335" s="3" t="str">
        <f>"326/1//MASAOKA"</f>
        <v>326/1//MASAOKA</v>
      </c>
      <c r="B335" s="3">
        <f>""</f>
      </c>
      <c r="C335" s="3" t="str">
        <f>"鼇頭刑法註釈 / 小笠原美治編輯註釈.-- 華岡常太郎; 明治15(1882)年3月."</f>
        <v>鼇頭刑法註釈 / 小笠原美治編輯註釈.-- 華岡常太郎; 明治15(1882)年3月.</v>
      </c>
    </row>
    <row r="336" spans="1:3" ht="11.25">
      <c r="A336" s="3" t="str">
        <f>"329/1//MASAOKA"</f>
        <v>329/1//MASAOKA</v>
      </c>
      <c r="B336" s="3">
        <f>""</f>
      </c>
      <c r="C336" s="3" t="str">
        <f>"日本外政私議 / 山本育太郎編纂.-- 日本新聞社; 明治22(1889)年8月."</f>
        <v>日本外政私議 / 山本育太郎編纂.-- 日本新聞社; 明治22(1889)年8月.</v>
      </c>
    </row>
    <row r="337" spans="1:3" ht="11.25">
      <c r="A337" s="3" t="str">
        <f>"337/1//MASAOKA"</f>
        <v>337/1//MASAOKA</v>
      </c>
      <c r="B337" s="3">
        <f>""</f>
      </c>
      <c r="C337" s="3" t="str">
        <f>"本朝宝貨事略 / [新井君美].-- [製作者不明]; [製作年不明]."</f>
        <v>本朝宝貨事略 / [新井君美].-- [製作者不明]; [製作年不明].</v>
      </c>
    </row>
    <row r="338" spans="1:3" ht="11.25">
      <c r="A338" s="3" t="str">
        <f>"337/2//MASAOKA"</f>
        <v>337/2//MASAOKA</v>
      </c>
      <c r="B338" s="3" t="str">
        <f>"後集 全"</f>
        <v>後集 全</v>
      </c>
      <c r="C338" s="3" t="str">
        <f>"対銭譜 / 田元成,大邨成富撰 ; 後集 全.-- 葉村半蔵; 文化12(1815)年1月刊."</f>
        <v>対銭譜 / 田元成,大邨成富撰 ; 後集 全.-- 葉村半蔵; 文化12(1815)年1月刊.</v>
      </c>
    </row>
    <row r="339" spans="1:3" ht="11.25">
      <c r="A339" s="3" t="str">
        <f>"345/1//MASAOKA"</f>
        <v>345/1//MASAOKA</v>
      </c>
      <c r="B339" s="3">
        <f>""</f>
      </c>
      <c r="C339" s="3" t="str">
        <f>"地租増否論 / 谷干城,田口卯吉.-- 日本新聞社; 明治31(1898)年10月.-- (日本叢書)."</f>
        <v>地租増否論 / 谷干城,田口卯吉.-- 日本新聞社; 明治31(1898)年10月.-- (日本叢書).</v>
      </c>
    </row>
    <row r="340" spans="1:3" ht="11.25">
      <c r="A340" s="3" t="str">
        <f>"367/1//MASAOKA"</f>
        <v>367/1//MASAOKA</v>
      </c>
      <c r="B340" s="3">
        <f>""</f>
      </c>
      <c r="C340" s="3" t="str">
        <f>"現代をんな気質 / 桜井彦一郎.-- 文武堂; 明治33(1900)年10月."</f>
        <v>現代をんな気質 / 桜井彦一郎.-- 文武堂; 明治33(1900)年10月.</v>
      </c>
    </row>
    <row r="341" spans="1:3" ht="11.25">
      <c r="A341" s="3" t="str">
        <f>"375/1/1/MASAOKA"</f>
        <v>375/1/1/MASAOKA</v>
      </c>
      <c r="B341" s="3" t="str">
        <f>"1巻"</f>
        <v>1巻</v>
      </c>
      <c r="C341" s="3" t="str">
        <f>"絵入庭訓往来 / [著者不明] ; 1-4巻 - 4巻.-- 山崎屋市兵衛[ほか2軒]; 貞享5(1688)年3月刊."</f>
        <v>絵入庭訓往来 / [著者不明] ; 1-4巻 - 4巻.-- 山崎屋市兵衛[ほか2軒]; 貞享5(1688)年3月刊.</v>
      </c>
    </row>
    <row r="342" spans="1:3" ht="11.25">
      <c r="A342" s="3" t="str">
        <f>"375/1/2/MASAOKA"</f>
        <v>375/1/2/MASAOKA</v>
      </c>
      <c r="B342" s="3" t="str">
        <f>"2巻"</f>
        <v>2巻</v>
      </c>
      <c r="C342" s="3" t="str">
        <f>"絵入庭訓往来 / [著者不明] ; 1-4巻 - 4巻.-- 山崎屋市兵衛[ほか2軒]; 貞享5(1688)年3月刊."</f>
        <v>絵入庭訓往来 / [著者不明] ; 1-4巻 - 4巻.-- 山崎屋市兵衛[ほか2軒]; 貞享5(1688)年3月刊.</v>
      </c>
    </row>
    <row r="343" spans="1:3" ht="11.25">
      <c r="A343" s="3" t="str">
        <f>"375/1/3/MASAOKA"</f>
        <v>375/1/3/MASAOKA</v>
      </c>
      <c r="B343" s="3" t="str">
        <f>"3巻"</f>
        <v>3巻</v>
      </c>
      <c r="C343" s="3" t="str">
        <f>"絵入庭訓往来 / [著者不明] ; 1-4巻 - 4巻.-- 山崎屋市兵衛[ほか2軒]; 貞享5(1688)年3月刊."</f>
        <v>絵入庭訓往来 / [著者不明] ; 1-4巻 - 4巻.-- 山崎屋市兵衛[ほか2軒]; 貞享5(1688)年3月刊.</v>
      </c>
    </row>
    <row r="344" spans="1:3" ht="11.25">
      <c r="A344" s="3" t="str">
        <f>"375/1/4/MASAOKA"</f>
        <v>375/1/4/MASAOKA</v>
      </c>
      <c r="B344" s="3" t="str">
        <f>"4巻"</f>
        <v>4巻</v>
      </c>
      <c r="C344" s="3" t="str">
        <f>"絵入庭訓往来 / [著者不明] ; 1-4巻 - 4巻.-- 山崎屋市兵衛[ほか2軒]; 貞享5(1688)年3月刊."</f>
        <v>絵入庭訓往来 / [著者不明] ; 1-4巻 - 4巻.-- 山崎屋市兵衛[ほか2軒]; 貞享5(1688)年3月刊.</v>
      </c>
    </row>
    <row r="345" spans="1:3" ht="11.25">
      <c r="A345" s="3" t="str">
        <f>"375/2//MASAOKA"</f>
        <v>375/2//MASAOKA</v>
      </c>
      <c r="B345" s="3">
        <f>""</f>
      </c>
      <c r="C345" s="3" t="str">
        <f>"隅田川往来 / [著者不明].-- 藤栄堂吉蔵; [出版年不明]."</f>
        <v>隅田川往来 / [著者不明].-- 藤栄堂吉蔵; [出版年不明].</v>
      </c>
    </row>
    <row r="346" spans="1:3" ht="11.25">
      <c r="A346" s="3" t="str">
        <f>"375/3//MASAOKA"</f>
        <v>375/3//MASAOKA</v>
      </c>
      <c r="B346" s="3">
        <f>""</f>
      </c>
      <c r="C346" s="3" t="str">
        <f>"女大学宝箱 / [貝原益軒(篤信)ほか].-- 服部屋幸八[ほか2軒]; 文久3(1863)年3月刊."</f>
        <v>女大学宝箱 / [貝原益軒(篤信)ほか].-- 服部屋幸八[ほか2軒]; 文久3(1863)年3月刊.</v>
      </c>
    </row>
    <row r="347" spans="1:3" ht="11.25">
      <c r="A347" s="3" t="str">
        <f>"375/4//MASAOKA"</f>
        <v>375/4//MASAOKA</v>
      </c>
      <c r="B347" s="3">
        <f>""</f>
      </c>
      <c r="C347" s="3" t="str">
        <f>"女今川八千代梅 / [著者不明].-- 鱗形屋孫兵衛; [出版年不明]."</f>
        <v>女今川八千代梅 / [著者不明].-- 鱗形屋孫兵衛; [出版年不明].</v>
      </c>
    </row>
    <row r="348" spans="1:3" ht="11.25">
      <c r="A348" s="3" t="str">
        <f>"375/5//MASAOKA"</f>
        <v>375/5//MASAOKA</v>
      </c>
      <c r="B348" s="3">
        <f>""</f>
      </c>
      <c r="C348" s="3" t="str">
        <f>"女教大全姫文庫 / [梅邦武].-- 敦賀屋九兵衛; 安永5(1776)年刊."</f>
        <v>女教大全姫文庫 / [梅邦武].-- 敦賀屋九兵衛; 安永5(1776)年刊.</v>
      </c>
    </row>
    <row r="349" spans="1:3" ht="11.25">
      <c r="A349" s="3" t="str">
        <f>"375/6//MASAOKA"</f>
        <v>375/6//MASAOKA</v>
      </c>
      <c r="B349" s="3">
        <f>""</f>
      </c>
      <c r="C349" s="3" t="str">
        <f>"童子千字文 / [著者不明].-- 再版.-- [出版者不明]; [出版年不明]."</f>
        <v>童子千字文 / [著者不明].-- 再版.-- [出版者不明]; [出版年不明].</v>
      </c>
    </row>
    <row r="350" spans="1:3" ht="11.25">
      <c r="A350" s="3" t="str">
        <f>"382.1/1//MASAOKA"</f>
        <v>382.1/1//MASAOKA</v>
      </c>
      <c r="B350" s="3">
        <f>""</f>
      </c>
      <c r="C350" s="3" t="str">
        <f>"吉原大鑑 / [石塚豊芥子著] ; 初編巻之下.-- [出版者不明]; 天保4(1835)年10月跋."</f>
        <v>吉原大鑑 / [石塚豊芥子著] ; 初編巻之下.-- [出版者不明]; 天保4(1835)年10月跋.</v>
      </c>
    </row>
    <row r="351" spans="1:3" ht="11.25">
      <c r="A351" s="3" t="str">
        <f>"382.1/2//MASAOKA"</f>
        <v>382.1/2//MASAOKA</v>
      </c>
      <c r="B351" s="3">
        <f>""</f>
      </c>
      <c r="C351" s="3" t="str">
        <f>"江戸花街沿革誌 / 関根金四郎編纂 ; 下.-- 六合館弦巻書店; 明治1894(27)年4月."</f>
        <v>江戸花街沿革誌 / 関根金四郎編纂 ; 下.-- 六合館弦巻書店; 明治1894(27)年4月.</v>
      </c>
    </row>
    <row r="352" spans="1:3" ht="11.25">
      <c r="A352" s="3" t="str">
        <f>"382.1/3//MASAOKA"</f>
        <v>382.1/3//MASAOKA</v>
      </c>
      <c r="B352" s="3">
        <f>""</f>
      </c>
      <c r="C352" s="3" t="str">
        <f>"当代全盛格段附合 / 風鈴山人序 ; 全.-- 玉屋如山蔵板; 慶応1(1865)年刊."</f>
        <v>当代全盛格段附合 / 風鈴山人序 ; 全.-- 玉屋如山蔵板; 慶応1(1865)年刊.</v>
      </c>
    </row>
    <row r="353" spans="1:3" ht="11.25">
      <c r="A353" s="3" t="str">
        <f>"382.2/1//MASAOKA"</f>
        <v>382.2/1//MASAOKA</v>
      </c>
      <c r="B353" s="3">
        <f>""</f>
      </c>
      <c r="C353" s="3" t="str">
        <f>"朝鮮人来朝行列之記 / 喜多川歌麿画 ; 全.-- 西村家源六,鶴屋金助; 文化8(1811)年11月刊."</f>
        <v>朝鮮人来朝行列之記 / 喜多川歌麿画 ; 全.-- 西村家源六,鶴屋金助; 文化8(1811)年11月刊.</v>
      </c>
    </row>
    <row r="354" spans="1:3" ht="11.25">
      <c r="A354" s="3" t="str">
        <f>"382.2/2/1/MASAOKA"</f>
        <v>382.2/2/1/MASAOKA</v>
      </c>
      <c r="B354" s="3" t="str">
        <f>"上"</f>
        <v>上</v>
      </c>
      <c r="C354" s="3" t="str">
        <f>"板橋雑記 / 余懐澹心著 山崎長卿[蘭斎]訳 ; 上,下, 上, 下.-- 甲谷佐兵衛; 明和9(1772)年1月刊."</f>
        <v>板橋雑記 / 余懐澹心著 山崎長卿[蘭斎]訳 ; 上,下, 上, 下.-- 甲谷佐兵衛; 明和9(1772)年1月刊.</v>
      </c>
    </row>
    <row r="355" spans="1:3" ht="11.25">
      <c r="A355" s="3" t="str">
        <f>"382.2/2/2/MASAOKA"</f>
        <v>382.2/2/2/MASAOKA</v>
      </c>
      <c r="B355" s="3" t="str">
        <f>"下"</f>
        <v>下</v>
      </c>
      <c r="C355" s="3" t="str">
        <f>"板橋雑記 / 余懐澹心著 山崎長卿[蘭斎]訳 ; 上,下, 上, 下.-- 甲谷佐兵衛; 明和9(1772)年1月刊."</f>
        <v>板橋雑記 / 余懐澹心著 山崎長卿[蘭斎]訳 ; 上,下, 上, 下.-- 甲谷佐兵衛; 明和9(1772)年1月刊.</v>
      </c>
    </row>
    <row r="356" spans="1:3" ht="11.25">
      <c r="A356" s="3" t="str">
        <f>"384/1//MASAOKA"</f>
        <v>384/1//MASAOKA</v>
      </c>
      <c r="B356" s="3">
        <f>""</f>
      </c>
      <c r="C356" s="3" t="str">
        <f>"万躾方之次第 / [小笠原長時,小笠原貞慶].-- [製作者不明]; [製作年不明]."</f>
        <v>万躾方之次第 / [小笠原長時,小笠原貞慶].-- [製作者不明]; [製作年不明].</v>
      </c>
    </row>
    <row r="357" spans="1:3" ht="11.25">
      <c r="A357" s="3" t="str">
        <f>"384/2//MASAOKA"</f>
        <v>384/2//MASAOKA</v>
      </c>
      <c r="B357" s="3">
        <f>""</f>
      </c>
      <c r="C357" s="3" t="str">
        <f>"万請取渡之次第 / [小笠原長時,小笠原貞慶].-- [製作者不明]; [製作年不明]."</f>
        <v>万請取渡之次第 / [小笠原長時,小笠原貞慶].-- [製作者不明]; [製作年不明].</v>
      </c>
    </row>
    <row r="358" spans="1:3" ht="11.25">
      <c r="A358" s="3" t="str">
        <f>"384/3//MASAOKA"</f>
        <v>384/3//MASAOKA</v>
      </c>
      <c r="B358" s="3">
        <f>""</f>
      </c>
      <c r="C358" s="3" t="str">
        <f>"万酌之次第 / [著者不明].-- [製作者不明]; [製作年不明]."</f>
        <v>万酌之次第 / [著者不明].-- [製作者不明]; [製作年不明].</v>
      </c>
    </row>
    <row r="359" spans="1:3" ht="11.25">
      <c r="A359" s="3" t="str">
        <f>"384/4//MASAOKA"</f>
        <v>384/4//MASAOKA</v>
      </c>
      <c r="B359" s="3">
        <f>""</f>
      </c>
      <c r="C359" s="3" t="str">
        <f>"通之次第同喰様之事 / [小笠原長時ほか].-- [製作者不明]; [製作年不明]."</f>
        <v>通之次第同喰様之事 / [小笠原長時ほか].-- [製作者不明]; [製作年不明].</v>
      </c>
    </row>
    <row r="360" spans="1:3" ht="11.25">
      <c r="A360" s="3" t="str">
        <f>"384/5//MASAOKA"</f>
        <v>384/5//MASAOKA</v>
      </c>
      <c r="B360" s="3">
        <f>""</f>
      </c>
      <c r="C360" s="3" t="str">
        <f>"元服之次第 / [小笠原長時ほか].-- [製作者不明]; [製作年不明]."</f>
        <v>元服之次第 / [小笠原長時ほか].-- [製作者不明]; [製作年不明].</v>
      </c>
    </row>
    <row r="361" spans="1:3" ht="11.25">
      <c r="A361" s="3" t="str">
        <f>"384/6//MASAOKA"</f>
        <v>384/6//MASAOKA</v>
      </c>
      <c r="B361" s="3">
        <f>""</f>
      </c>
      <c r="C361" s="3" t="str">
        <f>"書札之次第 / [小笠原長時,小笠原貞慶].-- [製作者不明]; [製作年不明]."</f>
        <v>書札之次第 / [小笠原長時,小笠原貞慶].-- [製作者不明]; [製作年不明].</v>
      </c>
    </row>
    <row r="362" spans="1:3" ht="11.25">
      <c r="A362" s="3" t="str">
        <f>"384/7//MASAOKA"</f>
        <v>384/7//MASAOKA</v>
      </c>
      <c r="B362" s="3">
        <f>""</f>
      </c>
      <c r="C362" s="3" t="str">
        <f>"文形之次第 / [著者不明].-- [製作者不明]; [製作年不明]."</f>
        <v>文形之次第 / [著者不明].-- [製作者不明]; [製作年不明].</v>
      </c>
    </row>
    <row r="363" spans="1:3" ht="11.25">
      <c r="A363" s="3" t="str">
        <f>"384/7a//MASAOKA"</f>
        <v>384/7a//MASAOKA</v>
      </c>
      <c r="B363" s="3">
        <f>""</f>
      </c>
      <c r="C363" s="3" t="str">
        <f>"当家筆法門 / 正岡常武写.-- [製作者不明]; 寛政11(1799)年刊."</f>
        <v>当家筆法門 / 正岡常武写.-- [製作者不明]; 寛政11(1799)年刊.</v>
      </c>
    </row>
    <row r="364" spans="1:3" ht="11.25">
      <c r="A364" s="3" t="str">
        <f>"384/8//MASAOKA"</f>
        <v>384/8//MASAOKA</v>
      </c>
      <c r="B364" s="3">
        <f>""</f>
      </c>
      <c r="C364" s="3" t="str">
        <f>"吉原内所図会 / 小金厚丸著.-- [出版者不明]; [天明6(1786)年刊]."</f>
        <v>吉原内所図会 / 小金厚丸著.-- [出版者不明]; [天明6(1786)年刊].</v>
      </c>
    </row>
    <row r="365" spans="1:3" ht="11.25">
      <c r="A365" s="3" t="str">
        <f>"384/9//MASAOKA"</f>
        <v>384/9//MASAOKA</v>
      </c>
      <c r="B365" s="3" t="str">
        <f>"全"</f>
        <v>全</v>
      </c>
      <c r="C365" s="3" t="str">
        <f>"柳橋新誌 / 成島柳北 ; 全.-- 山城屋政吉; 明治7(1874)年2月."</f>
        <v>柳橋新誌 / 成島柳北 ; 全.-- 山城屋政吉; 明治7(1874)年2月.</v>
      </c>
    </row>
    <row r="366" spans="1:3" ht="11.25">
      <c r="A366" s="3" t="str">
        <f>"384/9a//MASAOKA"</f>
        <v>384/9a//MASAOKA</v>
      </c>
      <c r="B366" s="3" t="str">
        <f>"全"</f>
        <v>全</v>
      </c>
      <c r="C366" s="3" t="str">
        <f>"柳橋新誌 / 何有仙史著 ; 全.-- [出版者不明]; [出版年不明]."</f>
        <v>柳橋新誌 / 何有仙史著 ; 全.-- [出版者不明]; [出版年不明].</v>
      </c>
    </row>
    <row r="367" spans="1:3" ht="11.25">
      <c r="A367" s="3" t="str">
        <f>"384/10//MASAOKA"</f>
        <v>384/10//MASAOKA</v>
      </c>
      <c r="B367" s="3">
        <f>""</f>
      </c>
      <c r="C367" s="3" t="str">
        <f>"改正吉原細見記 / 井田寅吉編.-- 遊楽書房; 明治22(1889)年7月."</f>
        <v>改正吉原細見記 / 井田寅吉編.-- 遊楽書房; 明治22(1889)年7月.</v>
      </c>
    </row>
    <row r="368" spans="1:3" ht="11.25">
      <c r="A368" s="3" t="str">
        <f>"384/11//MASAOKA"</f>
        <v>384/11//MASAOKA</v>
      </c>
      <c r="B368" s="3">
        <f>""</f>
      </c>
      <c r="C368" s="3" t="str">
        <f>"吉原細見仇競北里の燈 / 渡辺文三.-- 渡辺文三; 明治20(1887)年12月."</f>
        <v>吉原細見仇競北里の燈 / 渡辺文三.-- 渡辺文三; 明治20(1887)年12月.</v>
      </c>
    </row>
    <row r="369" spans="1:3" ht="11.25">
      <c r="A369" s="3" t="str">
        <f>"386/1//MASAOKA"</f>
        <v>386/1//MASAOKA</v>
      </c>
      <c r="B369" s="3" t="str">
        <f>"全"</f>
        <v>全</v>
      </c>
      <c r="C369" s="3" t="str">
        <f>"四季遊覧江戸年中行事 / [幽篁庵(久松祐之)編] ; 全.-- 岡田屋嘉七[ほか6軒]; [嘉永4(1851)年刊]."</f>
        <v>四季遊覧江戸年中行事 / [幽篁庵(久松祐之)編] ; 全.-- 岡田屋嘉七[ほか6軒]; [嘉永4(1851)年刊].</v>
      </c>
    </row>
    <row r="370" spans="1:3" ht="11.25">
      <c r="A370" s="3" t="str">
        <f>"386/2//MASAOKA"</f>
        <v>386/2//MASAOKA</v>
      </c>
      <c r="B370" s="3">
        <f>""</f>
      </c>
      <c r="C370" s="3" t="str">
        <f>"葬礼考 / 荻生徂来.-- [製作者不明]; 天明6[1786.10]写."</f>
        <v>葬礼考 / 荻生徂来.-- [製作者不明]; 天明6[1786.10]写.</v>
      </c>
    </row>
    <row r="371" spans="1:3" ht="11.25">
      <c r="A371" s="3" t="str">
        <f>"386/3//MASAOKA"</f>
        <v>386/3//MASAOKA</v>
      </c>
      <c r="B371" s="3" t="str">
        <f>"上・中・下"</f>
        <v>上・中・下</v>
      </c>
      <c r="C371" s="3" t="str">
        <f>"世諺問答 / [一条兼良著] [一条兼冬補] ; 上・中・下.-- 林重右衛門; 万治3(1660)年1月刊."</f>
        <v>世諺問答 / [一条兼良著] [一条兼冬補] ; 上・中・下.-- 林重右衛門; 万治3(1660)年1月刊.</v>
      </c>
    </row>
    <row r="372" spans="1:3" ht="11.25">
      <c r="A372" s="3" t="str">
        <f>"390/1//MASAOKA"</f>
        <v>390/1//MASAOKA</v>
      </c>
      <c r="B372" s="3" t="str">
        <f>"全"</f>
        <v>全</v>
      </c>
      <c r="C372" s="3" t="str">
        <f>"軍事学初歩 / 中島謙吉編纂 ; 全.-- 尚武学校編纂部; 明治28(1895)年2月."</f>
        <v>軍事学初歩 / 中島謙吉編纂 ; 全.-- 尚武学校編纂部; 明治28(1895)年2月.</v>
      </c>
    </row>
    <row r="373" spans="1:3" ht="11.25">
      <c r="A373" s="3" t="str">
        <f>"391/1//MASAOKA"</f>
        <v>391/1//MASAOKA</v>
      </c>
      <c r="B373" s="3">
        <f>""</f>
      </c>
      <c r="C373" s="3" t="str">
        <f>"発動集 / 大江純斉.-- [製作者不明]; [製作年不明]."</f>
        <v>発動集 / 大江純斉.-- [製作者不明]; [製作年不明].</v>
      </c>
    </row>
    <row r="374" spans="1:3" ht="11.25">
      <c r="A374" s="3" t="str">
        <f>"392/1/1/MASAOKA"</f>
        <v>392/1/1/MASAOKA</v>
      </c>
      <c r="B374" s="3" t="str">
        <f>"甲 訓童"</f>
        <v>甲 訓童</v>
      </c>
      <c r="C374" s="3" t="str">
        <f aca="true" t="shared" si="11" ref="C374:C382">"経権提要口義 / [伊賀武寛(風山子)編] ; 甲-壬 - 壬 兵器.-- [製作者不明]; 元禄134(1700)年9月序写."</f>
        <v>経権提要口義 / [伊賀武寛(風山子)編] ; 甲-壬 - 壬 兵器.-- [製作者不明]; 元禄134(1700)年9月序写.</v>
      </c>
    </row>
    <row r="375" spans="1:3" ht="11.25">
      <c r="A375" s="3" t="str">
        <f>"392/1/2/MASAOKA"</f>
        <v>392/1/2/MASAOKA</v>
      </c>
      <c r="B375" s="3" t="str">
        <f>"乙 訓童"</f>
        <v>乙 訓童</v>
      </c>
      <c r="C375" s="3" t="str">
        <f t="shared" si="11"/>
        <v>経権提要口義 / [伊賀武寛(風山子)編] ; 甲-壬 - 壬 兵器.-- [製作者不明]; 元禄134(1700)年9月序写.</v>
      </c>
    </row>
    <row r="376" spans="1:3" ht="11.25">
      <c r="A376" s="3" t="str">
        <f>"392/1/3/MASAOKA"</f>
        <v>392/1/3/MASAOKA</v>
      </c>
      <c r="B376" s="3" t="str">
        <f>"丙 修義"</f>
        <v>丙 修義</v>
      </c>
      <c r="C376" s="3" t="str">
        <f t="shared" si="11"/>
        <v>経権提要口義 / [伊賀武寛(風山子)編] ; 甲-壬 - 壬 兵器.-- [製作者不明]; 元禄134(1700)年9月序写.</v>
      </c>
    </row>
    <row r="377" spans="1:3" ht="11.25">
      <c r="A377" s="3" t="str">
        <f>"392/1/4/MASAOKA"</f>
        <v>392/1/4/MASAOKA</v>
      </c>
      <c r="B377" s="3" t="str">
        <f>"丁 出師"</f>
        <v>丁 出師</v>
      </c>
      <c r="C377" s="3" t="str">
        <f t="shared" si="11"/>
        <v>経権提要口義 / [伊賀武寛(風山子)編] ; 甲-壬 - 壬 兵器.-- [製作者不明]; 元禄134(1700)年9月序写.</v>
      </c>
    </row>
    <row r="378" spans="1:3" ht="11.25">
      <c r="A378" s="3" t="str">
        <f>"392/1/5/MASAOKA"</f>
        <v>392/1/5/MASAOKA</v>
      </c>
      <c r="B378" s="3" t="str">
        <f>"戊 止師"</f>
        <v>戊 止師</v>
      </c>
      <c r="C378" s="3" t="str">
        <f t="shared" si="11"/>
        <v>経権提要口義 / [伊賀武寛(風山子)編] ; 甲-壬 - 壬 兵器.-- [製作者不明]; 元禄134(1700)年9月序写.</v>
      </c>
    </row>
    <row r="379" spans="1:3" ht="11.25">
      <c r="A379" s="3" t="str">
        <f>"392/1/6/MASAOKA"</f>
        <v>392/1/6/MASAOKA</v>
      </c>
      <c r="B379" s="3" t="str">
        <f>"己 部曲"</f>
        <v>己 部曲</v>
      </c>
      <c r="C379" s="3" t="str">
        <f t="shared" si="11"/>
        <v>経権提要口義 / [伊賀武寛(風山子)編] ; 甲-壬 - 壬 兵器.-- [製作者不明]; 元禄134(1700)年9月序写.</v>
      </c>
    </row>
    <row r="380" spans="1:3" ht="11.25">
      <c r="A380" s="3" t="str">
        <f>"392/1/7/MASAOKA"</f>
        <v>392/1/7/MASAOKA</v>
      </c>
      <c r="B380" s="3" t="str">
        <f>"庚 攻戦水船"</f>
        <v>庚 攻戦水船</v>
      </c>
      <c r="C380" s="3" t="str">
        <f t="shared" si="11"/>
        <v>経権提要口義 / [伊賀武寛(風山子)編] ; 甲-壬 - 壬 兵器.-- [製作者不明]; 元禄134(1700)年9月序写.</v>
      </c>
    </row>
    <row r="381" spans="1:3" ht="11.25">
      <c r="A381" s="3" t="str">
        <f>"392/1/8/MASAOKA"</f>
        <v>392/1/8/MASAOKA</v>
      </c>
      <c r="B381" s="3" t="str">
        <f>"辛 能終"</f>
        <v>辛 能終</v>
      </c>
      <c r="C381" s="3" t="str">
        <f t="shared" si="11"/>
        <v>経権提要口義 / [伊賀武寛(風山子)編] ; 甲-壬 - 壬 兵器.-- [製作者不明]; 元禄134(1700)年9月序写.</v>
      </c>
    </row>
    <row r="382" spans="1:3" ht="11.25">
      <c r="A382" s="3" t="str">
        <f>"392/1/9/MASAOKA"</f>
        <v>392/1/9/MASAOKA</v>
      </c>
      <c r="B382" s="3" t="str">
        <f>"壬 兵器"</f>
        <v>壬 兵器</v>
      </c>
      <c r="C382" s="3" t="str">
        <f t="shared" si="11"/>
        <v>経権提要口義 / [伊賀武寛(風山子)編] ; 甲-壬 - 壬 兵器.-- [製作者不明]; 元禄134(1700)年9月序写.</v>
      </c>
    </row>
    <row r="383" spans="1:3" ht="11.25">
      <c r="A383" s="3" t="str">
        <f>"392/2//MASAOKA"</f>
        <v>392/2//MASAOKA</v>
      </c>
      <c r="B383" s="3">
        <f>""</f>
      </c>
      <c r="C383" s="3" t="str">
        <f>"兵法存疑弁 / 久保修撰.-- [製作者不明]; 寛政2(1790)年8月跋."</f>
        <v>兵法存疑弁 / 久保修撰.-- [製作者不明]; 寛政2(1790)年8月跋.</v>
      </c>
    </row>
    <row r="384" spans="1:3" ht="11.25">
      <c r="A384" s="3" t="str">
        <f>"392/3//MASAOKA"</f>
        <v>392/3//MASAOKA</v>
      </c>
      <c r="B384" s="3">
        <f>""</f>
      </c>
      <c r="C384" s="3" t="str">
        <f>"吟子言 / 吟泰子著.-- [製作者不明]; 享保21(1736)年3月成立."</f>
        <v>吟子言 / 吟泰子著.-- [製作者不明]; 享保21(1736)年3月成立.</v>
      </c>
    </row>
    <row r="385" spans="1:3" ht="11.25">
      <c r="A385" s="3" t="str">
        <f>"392/4//MASAOKA"</f>
        <v>392/4//MASAOKA</v>
      </c>
      <c r="B385" s="3">
        <f>""</f>
      </c>
      <c r="C385" s="3" t="str">
        <f>"闘戦経 / [著者不明].-- [製作者不明]; [製作年不明]."</f>
        <v>闘戦経 / [著者不明].-- [製作者不明]; [製作年不明].</v>
      </c>
    </row>
    <row r="386" spans="1:3" ht="11.25">
      <c r="A386" s="3" t="str">
        <f>"392/5//MASAOKA"</f>
        <v>392/5//MASAOKA</v>
      </c>
      <c r="B386" s="3" t="str">
        <f>"全"</f>
        <v>全</v>
      </c>
      <c r="C386" s="3" t="str">
        <f>"兵法存疑 / [著者不明] ; 全.-- [製作者不明]; [製作年不明]."</f>
        <v>兵法存疑 / [著者不明] ; 全.-- [製作者不明]; [製作年不明].</v>
      </c>
    </row>
    <row r="387" spans="1:3" ht="11.25">
      <c r="A387" s="3" t="str">
        <f>"392.1/1/1/MASAOKA"</f>
        <v>392.1/1/1/MASAOKA</v>
      </c>
      <c r="B387" s="3" t="str">
        <f>"上"</f>
        <v>上</v>
      </c>
      <c r="C387" s="3" t="str">
        <f>"古戦評判 / 中川正尚著 ; 上・中・下 - 下.-- 山口屋原権兵衛; 元禄3(1690)年4月刊."</f>
        <v>古戦評判 / 中川正尚著 ; 上・中・下 - 下.-- 山口屋原権兵衛; 元禄3(1690)年4月刊.</v>
      </c>
    </row>
    <row r="388" spans="1:3" ht="11.25">
      <c r="A388" s="3" t="str">
        <f>"392.1/1/2/MASAOKA"</f>
        <v>392.1/1/2/MASAOKA</v>
      </c>
      <c r="B388" s="3" t="str">
        <f>"中"</f>
        <v>中</v>
      </c>
      <c r="C388" s="3" t="str">
        <f>"古戦評判 / 中川正尚著 ; 上・中・下 - 下.-- 山口屋原権兵衛; 元禄3(1690)年4月刊."</f>
        <v>古戦評判 / 中川正尚著 ; 上・中・下 - 下.-- 山口屋原権兵衛; 元禄3(1690)年4月刊.</v>
      </c>
    </row>
    <row r="389" spans="1:3" ht="11.25">
      <c r="A389" s="3" t="str">
        <f>"392.1/1/3/MASAOKA"</f>
        <v>392.1/1/3/MASAOKA</v>
      </c>
      <c r="B389" s="3" t="str">
        <f>"下"</f>
        <v>下</v>
      </c>
      <c r="C389" s="3" t="str">
        <f>"古戦評判 / 中川正尚著 ; 上・中・下 - 下.-- 山口屋原権兵衛; 元禄3(1690)年4月刊."</f>
        <v>古戦評判 / 中川正尚著 ; 上・中・下 - 下.-- 山口屋原権兵衛; 元禄3(1690)年4月刊.</v>
      </c>
    </row>
    <row r="390" spans="1:3" ht="11.25">
      <c r="A390" s="3" t="str">
        <f>"392.1/2//MASAOKA"</f>
        <v>392.1/2//MASAOKA</v>
      </c>
      <c r="B390" s="3">
        <f>""</f>
      </c>
      <c r="C390" s="3" t="str">
        <f>"古戦場之図 / [著者不明].-- [製作者不明]; [製作年不明]."</f>
        <v>古戦場之図 / [著者不明].-- [製作者不明]; [製作年不明].</v>
      </c>
    </row>
    <row r="391" spans="1:3" ht="11.25">
      <c r="A391" s="3" t="str">
        <f>"392.2/1//MASAOKA"</f>
        <v>392.2/1//MASAOKA</v>
      </c>
      <c r="B391" s="3" t="str">
        <f>"孫子 1"</f>
        <v>孫子 1</v>
      </c>
      <c r="C391" s="3" t="str">
        <f>"評註図解武経七書俚諺鈔 / 神田白龍子 ; 孫子1, 孫子 1.-- 山泉堂; 正徳4(1714)年序刊."</f>
        <v>評註図解武経七書俚諺鈔 / 神田白龍子 ; 孫子1, 孫子 1.-- 山泉堂; 正徳4(1714)年序刊.</v>
      </c>
    </row>
    <row r="392" spans="1:3" ht="11.25">
      <c r="A392" s="3" t="str">
        <f>"392.2/2/1/MASAOKA"</f>
        <v>392.2/2/1/MASAOKA</v>
      </c>
      <c r="B392" s="3">
        <f>""</f>
      </c>
      <c r="C392" s="3" t="str">
        <f>"孫呉副詮 / 佐藤一斎著.-- 万青堂; [弘化3(1846)年刊]."</f>
        <v>孫呉副詮 / 佐藤一斎著.-- 万青堂; [弘化3(1846)年刊].</v>
      </c>
    </row>
    <row r="393" spans="1:3" ht="11.25">
      <c r="A393" s="3" t="str">
        <f>"392.2/2/2/MASAOKA"</f>
        <v>392.2/2/2/MASAOKA</v>
      </c>
      <c r="B393" s="3">
        <f>""</f>
      </c>
      <c r="C393" s="3" t="str">
        <f>"孫呉副詮 / 佐藤一斎著.-- 万青堂; [弘化3(1846)年刊]."</f>
        <v>孫呉副詮 / 佐藤一斎著.-- 万青堂; [弘化3(1846)年刊].</v>
      </c>
    </row>
    <row r="394" spans="1:3" ht="11.25">
      <c r="A394" s="3" t="str">
        <f>"392.2/3//MASAOKA"</f>
        <v>392.2/3//MASAOKA</v>
      </c>
      <c r="B394" s="3">
        <f>""</f>
      </c>
      <c r="C394" s="3" t="str">
        <f>"七書正文 / 渓百年著.-- 河内屋太助; 安政2(1855)年刊."</f>
        <v>七書正文 / 渓百年著.-- 河内屋太助; 安政2(1855)年刊.</v>
      </c>
    </row>
    <row r="395" spans="1:3" ht="11.25">
      <c r="A395" s="3" t="str">
        <f>"399/1//MASAOKA"</f>
        <v>399/1//MASAOKA</v>
      </c>
      <c r="B395" s="3">
        <f>""</f>
      </c>
      <c r="C395" s="3" t="str">
        <f>"装束甲冑図解 / 関根正直編.-- 国学院; 明治31(1898)年2月再版."</f>
        <v>装束甲冑図解 / 関根正直編.-- 国学院; 明治31(1898)年2月再版.</v>
      </c>
    </row>
    <row r="396" spans="1:3" ht="11.25">
      <c r="A396" s="3" t="str">
        <f>"400/1//MASAOKA"</f>
        <v>400/1//MASAOKA</v>
      </c>
      <c r="B396" s="3">
        <f>""</f>
      </c>
      <c r="C396" s="3" t="str">
        <f>"自然科学ノ-ト / 正岡子規自筆.-- [製作者不明]; [製作年不明]."</f>
        <v>自然科学ノ-ト / 正岡子規自筆.-- [製作者不明]; [製作年不明].</v>
      </c>
    </row>
    <row r="397" spans="1:3" ht="11.25">
      <c r="A397" s="3" t="str">
        <f>"419/1//MASAOKA"</f>
        <v>419/1//MASAOKA</v>
      </c>
      <c r="B397" s="3">
        <f>""</f>
      </c>
      <c r="C397" s="3" t="str">
        <f>"算法稽古図会大成 / 暁鐘成編画 ; 全.-- 吉野屋仁兵衛[ほか11軒]; 天保2(1831)年3月刊."</f>
        <v>算法稽古図会大成 / 暁鐘成編画 ; 全.-- 吉野屋仁兵衛[ほか11軒]; 天保2(1831)年3月刊.</v>
      </c>
    </row>
    <row r="398" spans="1:3" ht="11.25">
      <c r="A398" s="3" t="str">
        <f>"420/1//MASAOKA"</f>
        <v>420/1//MASAOKA</v>
      </c>
      <c r="B398" s="3">
        <f>""</f>
      </c>
      <c r="C398" s="3" t="str">
        <f>"物理学現今之進歩 / 木村駿吉講述.-- 内田老鶴圃; 明治23(1890)年4月."</f>
        <v>物理学現今之進歩 / 木村駿吉講述.-- 内田老鶴圃; 明治23(1890)年4月.</v>
      </c>
    </row>
    <row r="399" spans="1:3" ht="11.25">
      <c r="A399" s="3" t="str">
        <f>"420/2//MASAOKA"</f>
        <v>420/2//MASAOKA</v>
      </c>
      <c r="B399" s="3">
        <f>""</f>
      </c>
      <c r="C399" s="3" t="str">
        <f>"気海観瀾 / 青地林宗.-- 和泉屋吉兵衛; 文政10(1827)年7月序刊."</f>
        <v>気海観瀾 / 青地林宗.-- 和泉屋吉兵衛; 文政10(1827)年7月序刊.</v>
      </c>
    </row>
    <row r="400" spans="1:3" ht="11.25">
      <c r="A400" s="3" t="str">
        <f>"557/1//MASAOKA"</f>
        <v>557/1//MASAOKA</v>
      </c>
      <c r="B400" s="3">
        <f>""</f>
      </c>
      <c r="C400" s="3" t="str">
        <f>"改正日本船路細見記 / [美啓編].-- 河内屋喜兵衛; [天保13(1842)年春成立]."</f>
        <v>改正日本船路細見記 / [美啓編].-- 河内屋喜兵衛; [天保13(1842)年春成立].</v>
      </c>
    </row>
    <row r="401" spans="1:3" ht="11.25">
      <c r="A401" s="3" t="str">
        <f>"596/1//MASAOKA"</f>
        <v>596/1//MASAOKA</v>
      </c>
      <c r="B401" s="3" t="str">
        <f>"初編"</f>
        <v>初編</v>
      </c>
      <c r="C401" s="3" t="str">
        <f>"料理早指南 / 醍醐散人 ; 初編.-- 瑞玉堂; [享和1(1801)年3月刊]."</f>
        <v>料理早指南 / 醍醐散人 ; 初編.-- 瑞玉堂; [享和1(1801)年3月刊].</v>
      </c>
    </row>
    <row r="402" spans="1:3" ht="11.25">
      <c r="A402" s="3" t="str">
        <f>"611/1//MASAOKA"</f>
        <v>611/1//MASAOKA</v>
      </c>
      <c r="B402" s="3" t="str">
        <f>"完"</f>
        <v>完</v>
      </c>
      <c r="C402" s="3" t="str">
        <f>"凶荒図録 / 小田切春江編 ; 完.-- 小田切春江; 明治18(1885)年5月."</f>
        <v>凶荒図録 / 小田切春江編 ; 完.-- 小田切春江; 明治18(1885)年5月.</v>
      </c>
    </row>
    <row r="403" spans="1:3" ht="11.25">
      <c r="A403" s="3" t="str">
        <f>"620/1//MASAOKA"</f>
        <v>620/1//MASAOKA</v>
      </c>
      <c r="B403" s="3" t="str">
        <f>"下巻"</f>
        <v>下巻</v>
      </c>
      <c r="C403" s="3" t="str">
        <f>"梅品 / [松岡玄達] ; 下巻.-- 中西卯兵衛; 宝歴10(1760)年刊."</f>
        <v>梅品 / [松岡玄達] ; 下巻.-- 中西卯兵衛; 宝歴10(1760)年刊.</v>
      </c>
    </row>
    <row r="404" spans="1:3" ht="11.25">
      <c r="A404" s="3" t="str">
        <f>"701/1/1/MASAOKA"</f>
        <v>701/1/1/MASAOKA</v>
      </c>
      <c r="B404" s="3" t="str">
        <f>"上巻"</f>
        <v>上巻</v>
      </c>
      <c r="C404" s="3" t="str">
        <f>"審美綱領 / 森林太郎,大村西崖同編 ; 上・下巻, 上巻, 下巻.-- 春陽堂; 明治32(1899)年6月."</f>
        <v>審美綱領 / 森林太郎,大村西崖同編 ; 上・下巻, 上巻, 下巻.-- 春陽堂; 明治32(1899)年6月.</v>
      </c>
    </row>
    <row r="405" spans="1:3" ht="11.25">
      <c r="A405" s="3" t="str">
        <f>"701/1/2/MASAOKA"</f>
        <v>701/1/2/MASAOKA</v>
      </c>
      <c r="B405" s="3" t="str">
        <f>"下巻"</f>
        <v>下巻</v>
      </c>
      <c r="C405" s="3" t="str">
        <f>"審美綱領 / 森林太郎,大村西崖同編 ; 上・下巻, 上巻, 下巻.-- 春陽堂; 明治32(1899)年6月."</f>
        <v>審美綱領 / 森林太郎,大村西崖同編 ; 上・下巻, 上巻, 下巻.-- 春陽堂; 明治32(1899)年6月.</v>
      </c>
    </row>
    <row r="406" spans="1:3" ht="11.25">
      <c r="A406" s="3" t="str">
        <f>"715/1/1/MASAOKA"</f>
        <v>715/1/1/MASAOKA</v>
      </c>
      <c r="B406" s="3" t="str">
        <f>"1"</f>
        <v>1</v>
      </c>
      <c r="C406" s="3" t="str">
        <f>"新刃銘尽 / 神田白龍子編 ; 1,3-5 - 5.-- 高井勘兵衛; 享保6(1721)年4月序."</f>
        <v>新刃銘尽 / 神田白龍子編 ; 1,3-5 - 5.-- 高井勘兵衛; 享保6(1721)年4月序.</v>
      </c>
    </row>
    <row r="407" spans="1:3" ht="11.25">
      <c r="A407" s="3" t="str">
        <f>"715/1/3/MASAOKA"</f>
        <v>715/1/3/MASAOKA</v>
      </c>
      <c r="B407" s="3" t="str">
        <f>"3"</f>
        <v>3</v>
      </c>
      <c r="C407" s="3" t="str">
        <f>"新刃銘尽 / 神田白龍子編 ; 1,3-5 - 5.-- 高井勘兵衛; 享保6(1721)年4月序."</f>
        <v>新刃銘尽 / 神田白龍子編 ; 1,3-5 - 5.-- 高井勘兵衛; 享保6(1721)年4月序.</v>
      </c>
    </row>
    <row r="408" spans="1:3" ht="11.25">
      <c r="A408" s="3" t="str">
        <f>"715/1/4/MASAOKA"</f>
        <v>715/1/4/MASAOKA</v>
      </c>
      <c r="B408" s="3" t="str">
        <f>"4"</f>
        <v>4</v>
      </c>
      <c r="C408" s="3" t="str">
        <f>"新刃銘尽 / 神田白龍子編 ; 1,3-5 - 5.-- 高井勘兵衛; 享保6(1721)年4月序."</f>
        <v>新刃銘尽 / 神田白龍子編 ; 1,3-5 - 5.-- 高井勘兵衛; 享保6(1721)年4月序.</v>
      </c>
    </row>
    <row r="409" spans="1:3" ht="11.25">
      <c r="A409" s="3" t="str">
        <f>"715/1/5/MASAOKA"</f>
        <v>715/1/5/MASAOKA</v>
      </c>
      <c r="B409" s="3" t="str">
        <f>"5"</f>
        <v>5</v>
      </c>
      <c r="C409" s="3" t="str">
        <f>"新刃銘尽 / 神田白龍子編 ; 1,3-5 - 5.-- 高井勘兵衛; 享保6(1721)年4月序."</f>
        <v>新刃銘尽 / 神田白龍子編 ; 1,3-5 - 5.-- 高井勘兵衛; 享保6(1721)年4月序.</v>
      </c>
    </row>
    <row r="410" spans="1:3" ht="11.25">
      <c r="A410" s="3" t="str">
        <f>"720/1//MASAOKA"</f>
        <v>720/1//MASAOKA</v>
      </c>
      <c r="B410" s="3" t="str">
        <f>"全"</f>
        <v>全</v>
      </c>
      <c r="C410" s="3" t="str">
        <f>"本朝画工便覧 / 横須賀安枝著 ; 全.-- 東陽堂; 明治24(1891)年9月."</f>
        <v>本朝画工便覧 / 横須賀安枝著 ; 全.-- 東陽堂; 明治24(1891)年9月.</v>
      </c>
    </row>
    <row r="411" spans="1:3" ht="11.25">
      <c r="A411" s="3" t="str">
        <f>"720/2//MASAOKA"</f>
        <v>720/2//MASAOKA</v>
      </c>
      <c r="B411" s="3" t="str">
        <f>"完"</f>
        <v>完</v>
      </c>
      <c r="C411" s="3" t="str">
        <f>"美術年契 / 福地復一 ; 完.-- 金港堂; 明治24(1891)年8月."</f>
        <v>美術年契 / 福地復一 ; 完.-- 金港堂; 明治24(1891)年8月.</v>
      </c>
    </row>
    <row r="412" spans="1:3" ht="11.25">
      <c r="A412" s="3" t="str">
        <f>"720/3//MASAOKA"</f>
        <v>720/3//MASAOKA</v>
      </c>
      <c r="B412" s="3">
        <f>""</f>
      </c>
      <c r="C412" s="3" t="str">
        <f>"文鳳麁画 / 文鳳駿声画.-- 永楽屋東四郎; 寛政12(1800)年春序刊."</f>
        <v>文鳳麁画 / 文鳳駿声画.-- 永楽屋東四郎; 寛政12(1800)年春序刊.</v>
      </c>
    </row>
    <row r="413" spans="1:3" ht="11.25">
      <c r="A413" s="3" t="str">
        <f>"720/4/1/MASAOKA"</f>
        <v>720/4/1/MASAOKA</v>
      </c>
      <c r="B413" s="3" t="str">
        <f>"乾"</f>
        <v>乾</v>
      </c>
      <c r="C413" s="3" t="str">
        <f>"山中人饒舌 / 竹田生著 小竹散人評 ; 乾・坤, 乾, 坤.-- 柳原喜兵衛[ほか6軒]; 明治12(1879)年3月."</f>
        <v>山中人饒舌 / 竹田生著 小竹散人評 ; 乾・坤, 乾, 坤.-- 柳原喜兵衛[ほか6軒]; 明治12(1879)年3月.</v>
      </c>
    </row>
    <row r="414" spans="1:3" ht="11.25">
      <c r="A414" s="3" t="str">
        <f>"720/4/2/MASAOKA"</f>
        <v>720/4/2/MASAOKA</v>
      </c>
      <c r="B414" s="3" t="str">
        <f>"坤"</f>
        <v>坤</v>
      </c>
      <c r="C414" s="3" t="str">
        <f>"山中人饒舌 / 竹田生著 小竹散人評 ; 乾・坤, 乾, 坤.-- 柳原喜兵衛[ほか6軒]; 明治12(1879)年3月."</f>
        <v>山中人饒舌 / 竹田生著 小竹散人評 ; 乾・坤, 乾, 坤.-- 柳原喜兵衛[ほか6軒]; 明治12(1879)年3月.</v>
      </c>
    </row>
    <row r="415" spans="1:3" ht="11.25">
      <c r="A415" s="3" t="str">
        <f>"720/5//MASAOKA"</f>
        <v>720/5//MASAOKA</v>
      </c>
      <c r="B415" s="3">
        <f>""</f>
      </c>
      <c r="C415" s="3" t="str">
        <f>"南岳文鳳手競画譜 / 南岳維石,文鳳馬声画.-- 河内屋喜兵衛; 文化8(1811)年刊."</f>
        <v>南岳文鳳手競画譜 / 南岳維石,文鳳馬声画.-- 河内屋喜兵衛; 文化8(1811)年刊.</v>
      </c>
    </row>
    <row r="416" spans="1:3" ht="11.25">
      <c r="A416" s="3" t="str">
        <f>"720/6/11/MASAOKA"</f>
        <v>720/6/11/MASAOKA</v>
      </c>
      <c r="B416" s="3" t="str">
        <f>"第11号"</f>
        <v>第11号</v>
      </c>
      <c r="C416" s="3" t="str">
        <f>"美術園 / 杉崎帰四之助編 ; 第11,18号, 第11号, 第18号.-- 天秀社; 明治22(1889)年8月."</f>
        <v>美術園 / 杉崎帰四之助編 ; 第11,18号, 第11号, 第18号.-- 天秀社; 明治22(1889)年8月.</v>
      </c>
    </row>
    <row r="417" spans="1:3" ht="11.25">
      <c r="A417" s="3" t="str">
        <f>"720/6/18/MASAOKA"</f>
        <v>720/6/18/MASAOKA</v>
      </c>
      <c r="B417" s="3" t="str">
        <f>"第18号"</f>
        <v>第18号</v>
      </c>
      <c r="C417" s="3" t="str">
        <f>"美術園 / 杉崎帰四之助編 ; 第11,18号, 第11号, 第18号.-- 天秀社; 明治22(1889)年8月."</f>
        <v>美術園 / 杉崎帰四之助編 ; 第11,18号, 第11号, 第18号.-- 天秀社; 明治22(1889)年8月.</v>
      </c>
    </row>
    <row r="418" spans="1:3" ht="11.25">
      <c r="A418" s="3" t="str">
        <f>"720/7/2/MASAOKA"</f>
        <v>720/7/2/MASAOKA</v>
      </c>
      <c r="B418" s="3" t="str">
        <f>"第2巻"</f>
        <v>第2巻</v>
      </c>
      <c r="C418" s="3" t="str">
        <f aca="true" t="shared" si="12" ref="C418:C424">"美術世界 / 渡辺省亭編 ; 第2,3,8,9,12,13,15巻 - 第15巻.-- 春陽堂; 明治24(1891)年1-10月."</f>
        <v>美術世界 / 渡辺省亭編 ; 第2,3,8,9,12,13,15巻 - 第15巻.-- 春陽堂; 明治24(1891)年1-10月.</v>
      </c>
    </row>
    <row r="419" spans="1:3" ht="11.25">
      <c r="A419" s="3" t="str">
        <f>"720/7/3/MASAOKA"</f>
        <v>720/7/3/MASAOKA</v>
      </c>
      <c r="B419" s="3" t="str">
        <f>"第3巻"</f>
        <v>第3巻</v>
      </c>
      <c r="C419" s="3" t="str">
        <f t="shared" si="12"/>
        <v>美術世界 / 渡辺省亭編 ; 第2,3,8,9,12,13,15巻 - 第15巻.-- 春陽堂; 明治24(1891)年1-10月.</v>
      </c>
    </row>
    <row r="420" spans="1:3" ht="11.25">
      <c r="A420" s="3" t="str">
        <f>"720/7/8/MASAOKA"</f>
        <v>720/7/8/MASAOKA</v>
      </c>
      <c r="B420" s="3" t="str">
        <f>"第8巻"</f>
        <v>第8巻</v>
      </c>
      <c r="C420" s="3" t="str">
        <f t="shared" si="12"/>
        <v>美術世界 / 渡辺省亭編 ; 第2,3,8,9,12,13,15巻 - 第15巻.-- 春陽堂; 明治24(1891)年1-10月.</v>
      </c>
    </row>
    <row r="421" spans="1:3" ht="11.25">
      <c r="A421" s="3" t="str">
        <f>"720/7/9/MASAOKA"</f>
        <v>720/7/9/MASAOKA</v>
      </c>
      <c r="B421" s="3" t="str">
        <f>"第9巻"</f>
        <v>第9巻</v>
      </c>
      <c r="C421" s="3" t="str">
        <f t="shared" si="12"/>
        <v>美術世界 / 渡辺省亭編 ; 第2,3,8,9,12,13,15巻 - 第15巻.-- 春陽堂; 明治24(1891)年1-10月.</v>
      </c>
    </row>
    <row r="422" spans="1:3" ht="11.25">
      <c r="A422" s="3" t="str">
        <f>"720/7/12/MASAOKA"</f>
        <v>720/7/12/MASAOKA</v>
      </c>
      <c r="B422" s="3" t="str">
        <f>"第12巻"</f>
        <v>第12巻</v>
      </c>
      <c r="C422" s="3" t="str">
        <f t="shared" si="12"/>
        <v>美術世界 / 渡辺省亭編 ; 第2,3,8,9,12,13,15巻 - 第15巻.-- 春陽堂; 明治24(1891)年1-10月.</v>
      </c>
    </row>
    <row r="423" spans="1:3" ht="11.25">
      <c r="A423" s="3" t="str">
        <f>"720/7/13/MASAOKA"</f>
        <v>720/7/13/MASAOKA</v>
      </c>
      <c r="B423" s="3" t="str">
        <f>"第13巻"</f>
        <v>第13巻</v>
      </c>
      <c r="C423" s="3" t="str">
        <f t="shared" si="12"/>
        <v>美術世界 / 渡辺省亭編 ; 第2,3,8,9,12,13,15巻 - 第15巻.-- 春陽堂; 明治24(1891)年1-10月.</v>
      </c>
    </row>
    <row r="424" spans="1:3" ht="11.25">
      <c r="A424" s="3" t="str">
        <f>"720/7/15/MASAOKA"</f>
        <v>720/7/15/MASAOKA</v>
      </c>
      <c r="B424" s="3" t="str">
        <f>"第15巻"</f>
        <v>第15巻</v>
      </c>
      <c r="C424" s="3" t="str">
        <f t="shared" si="12"/>
        <v>美術世界 / 渡辺省亭編 ; 第2,3,8,9,12,13,15巻 - 第15巻.-- 春陽堂; 明治24(1891)年1-10月.</v>
      </c>
    </row>
    <row r="425" spans="1:3" ht="11.25">
      <c r="A425" s="3" t="str">
        <f>"720/8//MASAOKA"</f>
        <v>720/8//MASAOKA</v>
      </c>
      <c r="B425" s="3" t="str">
        <f>"2号"</f>
        <v>2号</v>
      </c>
      <c r="C425" s="3" t="str">
        <f>"美術 / 雲井繁次郎編 ; 2号.-- 博成社; 明治22(1889)年3月."</f>
        <v>美術 / 雲井繁次郎編 ; 2号.-- 博成社; 明治22(1889)年3月.</v>
      </c>
    </row>
    <row r="426" spans="1:3" ht="11.25">
      <c r="A426" s="3" t="str">
        <f>"720/9/1-23/MASAOKA"</f>
        <v>720/9/1-23/MASAOKA</v>
      </c>
      <c r="B426" s="3" t="str">
        <f>"1-23号"</f>
        <v>1-23号</v>
      </c>
      <c r="C426" s="3" t="str">
        <f aca="true" t="shared" si="13" ref="C426:C432">"風俗画報 ; 1-23号 - 臨時増刊第171号.-- 東陽堂; 1889.2-1898.8."</f>
        <v>風俗画報 ; 1-23号 - 臨時増刊第171号.-- 東陽堂; 1889.2-1898.8.</v>
      </c>
    </row>
    <row r="427" spans="1:3" ht="11.25">
      <c r="A427" s="3" t="str">
        <f>"720/9/24-36/MASAOKA"</f>
        <v>720/9/24-36/MASAOKA</v>
      </c>
      <c r="B427" s="3" t="str">
        <f>"24-36号"</f>
        <v>24-36号</v>
      </c>
      <c r="C427" s="3" t="str">
        <f t="shared" si="13"/>
        <v>風俗画報 ; 1-23号 - 臨時増刊第171号.-- 東陽堂; 1889.2-1898.8.</v>
      </c>
    </row>
    <row r="428" spans="1:3" ht="11.25">
      <c r="A428" s="3" t="str">
        <f>"720/9/37/MASAOKA"</f>
        <v>720/9/37/MASAOKA</v>
      </c>
      <c r="B428" s="3" t="str">
        <f>"37号"</f>
        <v>37号</v>
      </c>
      <c r="C428" s="3" t="str">
        <f t="shared" si="13"/>
        <v>風俗画報 ; 1-23号 - 臨時増刊第171号.-- 東陽堂; 1889.2-1898.8.</v>
      </c>
    </row>
    <row r="429" spans="1:3" ht="11.25">
      <c r="A429" s="3" t="str">
        <f>"720/9/38/MASAOKA"</f>
        <v>720/9/38/MASAOKA</v>
      </c>
      <c r="B429" s="3" t="str">
        <f>"38号"</f>
        <v>38号</v>
      </c>
      <c r="C429" s="3" t="str">
        <f t="shared" si="13"/>
        <v>風俗画報 ; 1-23号 - 臨時増刊第171号.-- 東陽堂; 1889.2-1898.8.</v>
      </c>
    </row>
    <row r="430" spans="1:3" ht="11.25">
      <c r="A430" s="3" t="str">
        <f>"720/9/41/MASAOKA"</f>
        <v>720/9/41/MASAOKA</v>
      </c>
      <c r="B430" s="3" t="str">
        <f>"41号"</f>
        <v>41号</v>
      </c>
      <c r="C430" s="3" t="str">
        <f t="shared" si="13"/>
        <v>風俗画報 ; 1-23号 - 臨時増刊第171号.-- 東陽堂; 1889.2-1898.8.</v>
      </c>
    </row>
    <row r="431" spans="1:3" ht="11.25">
      <c r="A431" s="3" t="str">
        <f>"720/9/75/MASAOKA"</f>
        <v>720/9/75/MASAOKA</v>
      </c>
      <c r="B431" s="3" t="str">
        <f>"75号"</f>
        <v>75号</v>
      </c>
      <c r="C431" s="3" t="str">
        <f t="shared" si="13"/>
        <v>風俗画報 ; 1-23号 - 臨時増刊第171号.-- 東陽堂; 1889.2-1898.8.</v>
      </c>
    </row>
    <row r="432" spans="1:3" ht="11.25">
      <c r="A432" s="3" t="str">
        <f>"720/9/113/MASAOKA"</f>
        <v>720/9/113/MASAOKA</v>
      </c>
      <c r="B432" s="3" t="str">
        <f>"113号"</f>
        <v>113号</v>
      </c>
      <c r="C432" s="3" t="str">
        <f t="shared" si="13"/>
        <v>風俗画報 ; 1-23号 - 臨時増刊第171号.-- 東陽堂; 1889.2-1898.8.</v>
      </c>
    </row>
    <row r="433" spans="1:3" ht="11.25">
      <c r="A433" s="3" t="str">
        <f>"720/10/1/MASAOKA"</f>
        <v>720/10/1/MASAOKA</v>
      </c>
      <c r="B433" s="3" t="str">
        <f>"乾"</f>
        <v>乾</v>
      </c>
      <c r="C433" s="3" t="str">
        <f>"張州英画譜 / 高力種英[編] ; 乾・坤, 乾, 坤.-- 寺沢松之助; 明治16(1883)年7月."</f>
        <v>張州英画譜 / 高力種英[編] ; 乾・坤, 乾, 坤.-- 寺沢松之助; 明治16(1883)年7月.</v>
      </c>
    </row>
    <row r="434" spans="1:3" ht="11.25">
      <c r="A434" s="3" t="str">
        <f>"720/10/2/MASAOKA"</f>
        <v>720/10/2/MASAOKA</v>
      </c>
      <c r="B434" s="3" t="str">
        <f>"坤"</f>
        <v>坤</v>
      </c>
      <c r="C434" s="3" t="str">
        <f>"張州英画譜 / 高力種英[編] ; 乾・坤, 乾, 坤.-- 寺沢松之助; 明治16(1883)年7月."</f>
        <v>張州英画譜 / 高力種英[編] ; 乾・坤, 乾, 坤.-- 寺沢松之助; 明治16(1883)年7月.</v>
      </c>
    </row>
    <row r="435" spans="1:3" ht="11.25">
      <c r="A435" s="3" t="str">
        <f>"720/11//MASAOKA"</f>
        <v>720/11//MASAOKA</v>
      </c>
      <c r="B435" s="3">
        <f>""</f>
      </c>
      <c r="C435" s="3" t="str">
        <f>"花鳥山水 / 春山,井沢保治.-- [出版者不明]; [出版年不明]."</f>
        <v>花鳥山水 / 春山,井沢保治.-- [出版者不明]; [出版年不明].</v>
      </c>
    </row>
    <row r="436" spans="1:3" ht="11.25">
      <c r="A436" s="3" t="str">
        <f>"720/12//MASAOKA"</f>
        <v>720/12//MASAOKA</v>
      </c>
      <c r="B436" s="3" t="str">
        <f>"全"</f>
        <v>全</v>
      </c>
      <c r="C436" s="3" t="str">
        <f>"奇妙図彙文字廼戯画 / 井上吉次郎[編] ; 全.-- 庭花堂; 明治17(1884)年8月."</f>
        <v>奇妙図彙文字廼戯画 / 井上吉次郎[編] ; 全.-- 庭花堂; 明治17(1884)年8月.</v>
      </c>
    </row>
    <row r="437" spans="1:3" ht="11.25">
      <c r="A437" s="3" t="str">
        <f>"720/13/1/MASAOKA"</f>
        <v>720/13/1/MASAOKA</v>
      </c>
      <c r="B437" s="3" t="str">
        <f>"第1集"</f>
        <v>第1集</v>
      </c>
      <c r="C437" s="3" t="str">
        <f aca="true" t="shared" si="14" ref="C437:C444">"東洋絵画叢誌 / 添川鉉之助編 ; 第1,4,7,9,11,13-15集 - 第15集.-- 東洋絵画会叢誌部; 明治17(1884)年10月-明治19(1886)年4月."</f>
        <v>東洋絵画叢誌 / 添川鉉之助編 ; 第1,4,7,9,11,13-15集 - 第15集.-- 東洋絵画会叢誌部; 明治17(1884)年10月-明治19(1886)年4月.</v>
      </c>
    </row>
    <row r="438" spans="1:3" ht="11.25">
      <c r="A438" s="3" t="str">
        <f>"720/13/4/MASAOKA"</f>
        <v>720/13/4/MASAOKA</v>
      </c>
      <c r="B438" s="3" t="str">
        <f>"第4集"</f>
        <v>第4集</v>
      </c>
      <c r="C438" s="3" t="str">
        <f t="shared" si="14"/>
        <v>東洋絵画叢誌 / 添川鉉之助編 ; 第1,4,7,9,11,13-15集 - 第15集.-- 東洋絵画会叢誌部; 明治17(1884)年10月-明治19(1886)年4月.</v>
      </c>
    </row>
    <row r="439" spans="1:3" ht="11.25">
      <c r="A439" s="3" t="str">
        <f>"720/13/7/MASAOKA"</f>
        <v>720/13/7/MASAOKA</v>
      </c>
      <c r="B439" s="3" t="str">
        <f>"第7集"</f>
        <v>第7集</v>
      </c>
      <c r="C439" s="3" t="str">
        <f t="shared" si="14"/>
        <v>東洋絵画叢誌 / 添川鉉之助編 ; 第1,4,7,9,11,13-15集 - 第15集.-- 東洋絵画会叢誌部; 明治17(1884)年10月-明治19(1886)年4月.</v>
      </c>
    </row>
    <row r="440" spans="1:3" ht="11.25">
      <c r="A440" s="3" t="str">
        <f>"720/13/9/MASAOKA"</f>
        <v>720/13/9/MASAOKA</v>
      </c>
      <c r="B440" s="3" t="str">
        <f>"第9集"</f>
        <v>第9集</v>
      </c>
      <c r="C440" s="3" t="str">
        <f t="shared" si="14"/>
        <v>東洋絵画叢誌 / 添川鉉之助編 ; 第1,4,7,9,11,13-15集 - 第15集.-- 東洋絵画会叢誌部; 明治17(1884)年10月-明治19(1886)年4月.</v>
      </c>
    </row>
    <row r="441" spans="1:3" ht="11.25">
      <c r="A441" s="3" t="str">
        <f>"720/13/11/MASAOKA"</f>
        <v>720/13/11/MASAOKA</v>
      </c>
      <c r="B441" s="3" t="str">
        <f>"第11集"</f>
        <v>第11集</v>
      </c>
      <c r="C441" s="3" t="str">
        <f t="shared" si="14"/>
        <v>東洋絵画叢誌 / 添川鉉之助編 ; 第1,4,7,9,11,13-15集 - 第15集.-- 東洋絵画会叢誌部; 明治17(1884)年10月-明治19(1886)年4月.</v>
      </c>
    </row>
    <row r="442" spans="1:3" ht="11.25">
      <c r="A442" s="3" t="str">
        <f>"720/13/13/MASAOKA"</f>
        <v>720/13/13/MASAOKA</v>
      </c>
      <c r="B442" s="3" t="str">
        <f>"第13集"</f>
        <v>第13集</v>
      </c>
      <c r="C442" s="3" t="str">
        <f t="shared" si="14"/>
        <v>東洋絵画叢誌 / 添川鉉之助編 ; 第1,4,7,9,11,13-15集 - 第15集.-- 東洋絵画会叢誌部; 明治17(1884)年10月-明治19(1886)年4月.</v>
      </c>
    </row>
    <row r="443" spans="1:3" ht="11.25">
      <c r="A443" s="3" t="str">
        <f>"720/13/14/MASAOKA"</f>
        <v>720/13/14/MASAOKA</v>
      </c>
      <c r="B443" s="3" t="str">
        <f>"第14集"</f>
        <v>第14集</v>
      </c>
      <c r="C443" s="3" t="str">
        <f t="shared" si="14"/>
        <v>東洋絵画叢誌 / 添川鉉之助編 ; 第1,4,7,9,11,13-15集 - 第15集.-- 東洋絵画会叢誌部; 明治17(1884)年10月-明治19(1886)年4月.</v>
      </c>
    </row>
    <row r="444" spans="1:3" ht="11.25">
      <c r="A444" s="3" t="str">
        <f>"720/13/15/MASAOKA"</f>
        <v>720/13/15/MASAOKA</v>
      </c>
      <c r="B444" s="3" t="str">
        <f>"第15集"</f>
        <v>第15集</v>
      </c>
      <c r="C444" s="3" t="str">
        <f t="shared" si="14"/>
        <v>東洋絵画叢誌 / 添川鉉之助編 ; 第1,4,7,9,11,13-15集 - 第15集.-- 東洋絵画会叢誌部; 明治17(1884)年10月-明治19(1886)年4月.</v>
      </c>
    </row>
    <row r="445" spans="1:3" ht="11.25">
      <c r="A445" s="3" t="str">
        <f>"720/14//MASAOKA"</f>
        <v>720/14//MASAOKA</v>
      </c>
      <c r="B445" s="3">
        <f>""</f>
      </c>
      <c r="C445" s="3" t="str">
        <f>"本朝古今新増書画便覧 / [河津山白編 二木肇美補訂 桜井匡直増補].-- 須原屋茂兵衛; 文久2(1862)年再刻."</f>
        <v>本朝古今新増書画便覧 / [河津山白編 二木肇美補訂 桜井匡直増補].-- 須原屋茂兵衛; 文久2(1862)年再刻.</v>
      </c>
    </row>
    <row r="446" spans="1:3" ht="11.25">
      <c r="A446" s="3" t="str">
        <f>"720/15//MASAOKA"</f>
        <v>720/15//MASAOKA</v>
      </c>
      <c r="B446" s="3">
        <f>""</f>
      </c>
      <c r="C446" s="3" t="str">
        <f>"古今南画集覧 / [著者不明].-- [出版者不明]; [出版年不明]."</f>
        <v>古今南画集覧 / [著者不明].-- [出版者不明]; [出版年不明].</v>
      </c>
    </row>
    <row r="447" spans="1:3" ht="11.25">
      <c r="A447" s="3" t="str">
        <f>"720/16//MASAOKA"</f>
        <v>720/16//MASAOKA</v>
      </c>
      <c r="B447" s="3">
        <f>""</f>
      </c>
      <c r="C447" s="3" t="str">
        <f>"狂詩画譜 / [畠中銅脈(正盈)].-- [出版者不明]; 明和8(1771)年刊."</f>
        <v>狂詩画譜 / [畠中銅脈(正盈)].-- [出版者不明]; 明和8(1771)年刊.</v>
      </c>
    </row>
    <row r="448" spans="1:3" ht="11.25">
      <c r="A448" s="3" t="str">
        <f>"720/17//MASAOKA"</f>
        <v>720/17//MASAOKA</v>
      </c>
      <c r="B448" s="3" t="str">
        <f>"全"</f>
        <v>全</v>
      </c>
      <c r="C448" s="3" t="str">
        <f>"幼童稽古画帖 / [著者不明] ; 全.-- [出版者不明]; [出版年不明]."</f>
        <v>幼童稽古画帖 / [著者不明] ; 全.-- [出版者不明]; [出版年不明].</v>
      </c>
    </row>
    <row r="449" spans="1:3" ht="11.25">
      <c r="A449" s="3" t="str">
        <f>"720/18//MASAOKA"</f>
        <v>720/18//MASAOKA</v>
      </c>
      <c r="B449" s="3" t="str">
        <f>"初編 全"</f>
        <v>初編 全</v>
      </c>
      <c r="C449" s="3" t="str">
        <f>"?斎略画式 / [鍬形?斎(北尾政美)] ; 初編 全.-- 青雲堂英文[ほか24軒]; [出版年不明]."</f>
        <v>?斎略画式 / [鍬形?斎(北尾政美)] ; 初編 全.-- 青雲堂英文[ほか24軒]; [出版年不明].</v>
      </c>
    </row>
    <row r="450" spans="1:3" ht="11.25">
      <c r="A450" s="3" t="str">
        <f>"720/19//MASAOKA"</f>
        <v>720/19//MASAOKA</v>
      </c>
      <c r="B450" s="3" t="str">
        <f>"初編"</f>
        <v>初編</v>
      </c>
      <c r="C450" s="3" t="str">
        <f>"英泉画譜 / 渓斎英泉画 ; 初編.-- 永楽屋東四郎[ほか12軒]; 嘉永2(1849)年序刊."</f>
        <v>英泉画譜 / 渓斎英泉画 ; 初編.-- 永楽屋東四郎[ほか12軒]; 嘉永2(1849)年序刊.</v>
      </c>
    </row>
    <row r="451" spans="1:3" ht="11.25">
      <c r="A451" s="3" t="str">
        <f>"720/20/2/MASAOKA"</f>
        <v>720/20/2/MASAOKA</v>
      </c>
      <c r="B451" s="3" t="str">
        <f>"2編"</f>
        <v>2編</v>
      </c>
      <c r="C451" s="3" t="str">
        <f>"草筆画譜 / 一立斎広重画 ; 2編.-- 藤岡屋慶二郎蔵[ほか13軒]; 嘉永3(1850)序刊."</f>
        <v>草筆画譜 / 一立斎広重画 ; 2編.-- 藤岡屋慶二郎蔵[ほか13軒]; 嘉永3(1850)序刊.</v>
      </c>
    </row>
    <row r="452" spans="1:3" ht="11.25">
      <c r="A452" s="3" t="str">
        <f>"720/21/2/MASAOKA"</f>
        <v>720/21/2/MASAOKA</v>
      </c>
      <c r="B452" s="3" t="str">
        <f>"2編"</f>
        <v>2編</v>
      </c>
      <c r="C452" s="3" t="str">
        <f>"草筆画譜 / 一光齋芳盛画 ; 2編.-- [出版者不明]; 弘化2(1845)年刊."</f>
        <v>草筆画譜 / 一光齋芳盛画 ; 2編.-- [出版者不明]; 弘化2(1845)年刊.</v>
      </c>
    </row>
    <row r="453" spans="1:3" ht="11.25">
      <c r="A453" s="3" t="str">
        <f>"720/22//MASAOKA"</f>
        <v>720/22//MASAOKA</v>
      </c>
      <c r="B453" s="3">
        <f>""</f>
      </c>
      <c r="C453" s="3" t="str">
        <f>"福善斎画譜 / [丹羽章甫(嘉言)画].-- 永楽屋東四郎[ほか]; 文政6(1823)年春序刊."</f>
        <v>福善斎画譜 / [丹羽章甫(嘉言)画].-- 永楽屋東四郎[ほか]; 文政6(1823)年春序刊.</v>
      </c>
    </row>
    <row r="454" spans="1:3" ht="11.25">
      <c r="A454" s="3" t="str">
        <f>"720/23//MASAOKA"</f>
        <v>720/23//MASAOKA</v>
      </c>
      <c r="B454" s="3" t="str">
        <f>"2編 全"</f>
        <v>2編 全</v>
      </c>
      <c r="C454" s="3" t="str">
        <f>"讃科画図?斎麁画 / [鍬形?斎(北尾政美)画] ; 2編 全.-- 永楽屋東四郎[ほか]; [天保10(1839)年序刊]."</f>
        <v>讃科画図?斎麁画 / [鍬形?斎(北尾政美)画] ; 2編 全.-- 永楽屋東四郎[ほか]; [天保10(1839)年序刊].</v>
      </c>
    </row>
    <row r="455" spans="1:3" ht="11.25">
      <c r="A455" s="3" t="str">
        <f>"720/24/1/MASAOKA"</f>
        <v>720/24/1/MASAOKA</v>
      </c>
      <c r="B455" s="3" t="str">
        <f>"上"</f>
        <v>上</v>
      </c>
      <c r="C455" s="3" t="str">
        <f>"十竹斎画譜 / 織田鎌吉編 ; 上・下, 上, 下.-- 片野東四郎; 明治14(1881)年7月."</f>
        <v>十竹斎画譜 / 織田鎌吉編 ; 上・下, 上, 下.-- 片野東四郎; 明治14(1881)年7月.</v>
      </c>
    </row>
    <row r="456" spans="1:3" ht="11.25">
      <c r="A456" s="3" t="str">
        <f>"720/24/2/MASAOKA"</f>
        <v>720/24/2/MASAOKA</v>
      </c>
      <c r="B456" s="3" t="str">
        <f>"下"</f>
        <v>下</v>
      </c>
      <c r="C456" s="3" t="str">
        <f>"十竹斎画譜 / 織田鎌吉編 ; 上・下, 上, 下.-- 片野東四郎; 明治14(1881)年7月."</f>
        <v>十竹斎画譜 / 織田鎌吉編 ; 上・下, 上, 下.-- 片野東四郎; 明治14(1881)年7月.</v>
      </c>
    </row>
    <row r="457" spans="1:3" ht="11.25">
      <c r="A457" s="3" t="str">
        <f>"720/25//MASAOKA"</f>
        <v>720/25//MASAOKA</v>
      </c>
      <c r="B457" s="3" t="str">
        <f>"全"</f>
        <v>全</v>
      </c>
      <c r="C457" s="3" t="str">
        <f>"鶯村画譜 / 酒井抱一画 ; 全.-- 金花堂; [明治版]."</f>
        <v>鶯村画譜 / 酒井抱一画 ; 全.-- 金花堂; [明治版].</v>
      </c>
    </row>
    <row r="458" spans="1:3" ht="11.25">
      <c r="A458" s="3" t="str">
        <f>"720/26/1/MASAOKA"</f>
        <v>720/26/1/MASAOKA</v>
      </c>
      <c r="B458" s="3" t="str">
        <f>"乾"</f>
        <v>乾</v>
      </c>
      <c r="C458" s="3" t="str">
        <f>"公長略画 / [上田公長(水雲)画] ; 乾・坤, 乾, 坤.-- 伊丹屋善兵衛; 文久3(1863)年7月刊."</f>
        <v>公長略画 / [上田公長(水雲)画] ; 乾・坤, 乾, 坤.-- 伊丹屋善兵衛; 文久3(1863)年7月刊.</v>
      </c>
    </row>
    <row r="459" spans="1:3" ht="11.25">
      <c r="A459" s="3" t="str">
        <f>"720/26/2/MASAOKA"</f>
        <v>720/26/2/MASAOKA</v>
      </c>
      <c r="B459" s="3" t="str">
        <f>"坤"</f>
        <v>坤</v>
      </c>
      <c r="C459" s="3" t="str">
        <f>"公長略画 / [上田公長(水雲)画] ; 乾・坤, 乾, 坤.-- 伊丹屋善兵衛; 文久3(1863)年7月刊."</f>
        <v>公長略画 / [上田公長(水雲)画] ; 乾・坤, 乾, 坤.-- 伊丹屋善兵衛; 文久3(1863)年7月刊.</v>
      </c>
    </row>
    <row r="460" spans="1:3" ht="11.25">
      <c r="A460" s="3" t="str">
        <f>"720/27/1/MASAOKA"</f>
        <v>720/27/1/MASAOKA</v>
      </c>
      <c r="B460" s="3" t="str">
        <f>"上"</f>
        <v>上</v>
      </c>
      <c r="C460" s="3" t="str">
        <f>"建氏画苑 / [建部]寒葉斎(綾足)画 ; 1-3巻 - 下.-- 五車楼; 安永4(1775)年新刻."</f>
        <v>建氏画苑 / [建部]寒葉斎(綾足)画 ; 1-3巻 - 下.-- 五車楼; 安永4(1775)年新刻.</v>
      </c>
    </row>
    <row r="461" spans="1:3" ht="11.25">
      <c r="A461" s="3" t="str">
        <f>"720/27/2/MASAOKA"</f>
        <v>720/27/2/MASAOKA</v>
      </c>
      <c r="B461" s="3" t="str">
        <f>"中"</f>
        <v>中</v>
      </c>
      <c r="C461" s="3" t="str">
        <f>"建氏画苑 / [建部]寒葉斎(綾足)画 ; 1-3巻 - 下.-- 五車楼; 安永4(1775)年新刻."</f>
        <v>建氏画苑 / [建部]寒葉斎(綾足)画 ; 1-3巻 - 下.-- 五車楼; 安永4(1775)年新刻.</v>
      </c>
    </row>
    <row r="462" spans="1:3" ht="11.25">
      <c r="A462" s="3" t="str">
        <f>"720/27/3/MASAOKA"</f>
        <v>720/27/3/MASAOKA</v>
      </c>
      <c r="B462" s="3" t="str">
        <f>"下"</f>
        <v>下</v>
      </c>
      <c r="C462" s="3" t="str">
        <f>"建氏画苑 / [建部]寒葉斎(綾足)画 ; 1-3巻 - 下.-- 五車楼; 安永4(1775)年新刻."</f>
        <v>建氏画苑 / [建部]寒葉斎(綾足)画 ; 1-3巻 - 下.-- 五車楼; 安永4(1775)年新刻.</v>
      </c>
    </row>
    <row r="463" spans="1:3" ht="11.25">
      <c r="A463" s="3" t="str">
        <f>"720/28//MASAOKA"</f>
        <v>720/28//MASAOKA</v>
      </c>
      <c r="B463" s="3" t="str">
        <f>"全"</f>
        <v>全</v>
      </c>
      <c r="C463" s="3" t="str">
        <f>"文鳳画譜 / 文鳳馬[画] ; 全.-- 文徴堂; 文化4(1807)年11月序刊."</f>
        <v>文鳳画譜 / 文鳳馬[画] ; 全.-- 文徴堂; 文化4(1807)年11月序刊.</v>
      </c>
    </row>
    <row r="464" spans="1:3" ht="11.25">
      <c r="A464" s="3" t="str">
        <f>"720/28a//MASAOKA"</f>
        <v>720/28a//MASAOKA</v>
      </c>
      <c r="B464" s="3">
        <f>""</f>
      </c>
      <c r="C464" s="3" t="str">
        <f>"文鳳山人画譜 / [河村文鳳画] ; 3編.-- 文徴堂; 文政7(1824)年正月刊."</f>
        <v>文鳳山人画譜 / [河村文鳳画] ; 3編.-- 文徴堂; 文政7(1824)年正月刊.</v>
      </c>
    </row>
    <row r="465" spans="1:3" ht="11.25">
      <c r="A465" s="3" t="str">
        <f>"720/29/5/MASAOKA"</f>
        <v>720/29/5/MASAOKA</v>
      </c>
      <c r="B465" s="3" t="str">
        <f>"5"</f>
        <v>5</v>
      </c>
      <c r="C465" s="3" t="str">
        <f>"和漢新図扶桑画譜 / [橘守国画 内藤道有編] ; 5.-- 植村藤右衛門; 享保20(1735)年7月刊."</f>
        <v>和漢新図扶桑画譜 / [橘守国画 内藤道有編] ; 5.-- 植村藤右衛門; 享保20(1735)年7月刊.</v>
      </c>
    </row>
    <row r="466" spans="1:3" ht="11.25">
      <c r="A466" s="3" t="str">
        <f>"720/30/3/MASAOKA"</f>
        <v>720/30/3/MASAOKA</v>
      </c>
      <c r="B466" s="3" t="str">
        <f>"七言律巻3"</f>
        <v>七言律巻3</v>
      </c>
      <c r="C466" s="3" t="str">
        <f>"唐詩選画本 / [高井蘭山著] ; 七言律巻3.-- 嵩山房須原屋; [出版年不明]."</f>
        <v>唐詩選画本 / [高井蘭山著] ; 七言律巻3.-- 嵩山房須原屋; [出版年不明].</v>
      </c>
    </row>
    <row r="467" spans="1:3" ht="11.25">
      <c r="A467" s="3" t="str">
        <f>"720/31/1/MASAOKA"</f>
        <v>720/31/1/MASAOKA</v>
      </c>
      <c r="B467" s="3" t="str">
        <f>"1"</f>
        <v>1</v>
      </c>
      <c r="C467" s="3" t="str">
        <f>"習画百題 / 木村徳太郎画 川端玉章編 ; 1.-- 吉川半七; 明治31(1898)年11月刊."</f>
        <v>習画百題 / 木村徳太郎画 川端玉章編 ; 1.-- 吉川半七; 明治31(1898)年11月刊.</v>
      </c>
    </row>
    <row r="468" spans="1:3" ht="11.25">
      <c r="A468" s="3" t="str">
        <f>"720/32//MASAOKA"</f>
        <v>720/32//MASAOKA</v>
      </c>
      <c r="B468" s="3">
        <f>""</f>
      </c>
      <c r="C468" s="3" t="str">
        <f>"子規居士絵画観 / 寒川鼠骨[編].-- 日新房; 昭和22(1947)年."</f>
        <v>子規居士絵画観 / 寒川鼠骨[編].-- 日新房; 昭和22(1947)年.</v>
      </c>
    </row>
    <row r="469" spans="1:3" ht="11.25">
      <c r="A469" s="3" t="str">
        <f>"720/33//MASAOKA"</f>
        <v>720/33//MASAOKA</v>
      </c>
      <c r="B469" s="3">
        <f>""</f>
      </c>
      <c r="C469" s="3" t="str">
        <f>"子規画日記 / [寒川鼠骨編].-- [日新房]; 昭和22(1947)年."</f>
        <v>子規画日記 / [寒川鼠骨編].-- [日新房]; 昭和22(1947)年.</v>
      </c>
    </row>
    <row r="470" spans="1:3" ht="11.25">
      <c r="A470" s="3" t="str">
        <f>"721/1/1/MASAOKA"</f>
        <v>721/1/1/MASAOKA</v>
      </c>
      <c r="B470" s="3">
        <f>""</f>
      </c>
      <c r="C470" s="3" t="str">
        <f>"暁斎画談 / 河鍋洞郁画 瓜生政和編.-- 北畠茂兵衛[ほか22軒]; 明治20(1887)年7月."</f>
        <v>暁斎画談 / 河鍋洞郁画 瓜生政和編.-- 北畠茂兵衛[ほか22軒]; 明治20(1887)年7月.</v>
      </c>
    </row>
    <row r="471" spans="1:3" ht="11.25">
      <c r="A471" s="3" t="str">
        <f>"721/1/2/MASAOKA"</f>
        <v>721/1/2/MASAOKA</v>
      </c>
      <c r="B471" s="3" t="str">
        <f>"内編 巻之2"</f>
        <v>内編 巻之2</v>
      </c>
      <c r="C471" s="3" t="str">
        <f>"暁斎画談合 / 河鍋暁斎画 ; 内編 巻之2.-- 岩本俊; 明治20(1887)年4月刊."</f>
        <v>暁斎画談合 / 河鍋暁斎画 ; 内編 巻之2.-- 岩本俊; 明治20(1887)年4月刊.</v>
      </c>
    </row>
    <row r="472" spans="1:3" ht="11.25">
      <c r="A472" s="3" t="str">
        <f>"721/2/3/MASAOKA"</f>
        <v>721/2/3/MASAOKA</v>
      </c>
      <c r="B472" s="3" t="str">
        <f>"3編"</f>
        <v>3編</v>
      </c>
      <c r="C472" s="3" t="str">
        <f>"万職図考 / 葛飾戴斗 ; 3編.-- 群玉堂; 天保6(1835)年6月序刊."</f>
        <v>万職図考 / 葛飾戴斗 ; 3編.-- 群玉堂; 天保6(1835)年6月序刊.</v>
      </c>
    </row>
    <row r="473" spans="1:3" ht="11.25">
      <c r="A473" s="3" t="str">
        <f>"721/3//MASAOKA"</f>
        <v>721/3//MASAOKA</v>
      </c>
      <c r="B473" s="3">
        <f>""</f>
      </c>
      <c r="C473" s="3" t="str">
        <f>"暁斎戯画 / 河鍋暁斎画.-- [出版者不明]; [出版年不明]."</f>
        <v>暁斎戯画 / 河鍋暁斎画.-- [出版者不明]; [出版年不明].</v>
      </c>
    </row>
    <row r="474" spans="1:3" ht="11.25">
      <c r="A474" s="3" t="str">
        <f>"721/4/1/MASAOKA"</f>
        <v>721/4/1/MASAOKA</v>
      </c>
      <c r="B474" s="3" t="str">
        <f>"東"</f>
        <v>東</v>
      </c>
      <c r="C474" s="3" t="str">
        <f>"帝都雅景一覧 / 文鳳馬声画 龍川清勲,頼山陽[共編] ; 東・西・南・北 - 北.-- 正宝堂書房; [出版年不明]."</f>
        <v>帝都雅景一覧 / 文鳳馬声画 龍川清勲,頼山陽[共編] ; 東・西・南・北 - 北.-- 正宝堂書房; [出版年不明].</v>
      </c>
    </row>
    <row r="475" spans="1:3" ht="11.25">
      <c r="A475" s="3" t="str">
        <f>"721/4/2/MASAOKA"</f>
        <v>721/4/2/MASAOKA</v>
      </c>
      <c r="B475" s="3" t="str">
        <f>"西"</f>
        <v>西</v>
      </c>
      <c r="C475" s="3" t="str">
        <f>"帝都雅景一覧 / 文鳳馬声画 龍川清勲,頼山陽[共編] ; 東・西・南・北 - 北.-- 正宝堂書房; [出版年不明]."</f>
        <v>帝都雅景一覧 / 文鳳馬声画 龍川清勲,頼山陽[共編] ; 東・西・南・北 - 北.-- 正宝堂書房; [出版年不明].</v>
      </c>
    </row>
    <row r="476" spans="1:3" ht="11.25">
      <c r="A476" s="3" t="str">
        <f>"721/4/3/MASAOKA"</f>
        <v>721/4/3/MASAOKA</v>
      </c>
      <c r="B476" s="3" t="str">
        <f>"南"</f>
        <v>南</v>
      </c>
      <c r="C476" s="3" t="str">
        <f>"帝都雅景一覧 / 文鳳馬声画 龍川清勲,頼山陽[共編] ; 東・西・南・北 - 北.-- 正宝堂書房; [出版年不明]."</f>
        <v>帝都雅景一覧 / 文鳳馬声画 龍川清勲,頼山陽[共編] ; 東・西・南・北 - 北.-- 正宝堂書房; [出版年不明].</v>
      </c>
    </row>
    <row r="477" spans="1:3" ht="11.25">
      <c r="A477" s="3" t="str">
        <f>"721/4/4/MASAOKA"</f>
        <v>721/4/4/MASAOKA</v>
      </c>
      <c r="B477" s="3" t="str">
        <f>"北"</f>
        <v>北</v>
      </c>
      <c r="C477" s="3" t="str">
        <f>"帝都雅景一覧 / 文鳳馬声画 龍川清勲,頼山陽[共編] ; 東・西・南・北 - 北.-- 正宝堂書房; [出版年不明]."</f>
        <v>帝都雅景一覧 / 文鳳馬声画 龍川清勲,頼山陽[共編] ; 東・西・南・北 - 北.-- 正宝堂書房; [出版年不明].</v>
      </c>
    </row>
    <row r="478" spans="1:3" ht="11.25">
      <c r="A478" s="3" t="str">
        <f>"721/5//MASAOKA"</f>
        <v>721/5//MASAOKA</v>
      </c>
      <c r="B478" s="3">
        <f>""</f>
      </c>
      <c r="C478" s="3" t="str">
        <f>"可菴画叢 / 可菴喜多原図.-- 金花堂; 安政6(1859)年2月刊."</f>
        <v>可菴画叢 / 可菴喜多原図.-- 金花堂; 安政6(1859)年2月刊.</v>
      </c>
    </row>
    <row r="479" spans="1:3" ht="11.25">
      <c r="A479" s="3" t="str">
        <f>"721/6/2/MASAOKA"</f>
        <v>721/6/2/MASAOKA</v>
      </c>
      <c r="B479" s="3" t="str">
        <f>"中"</f>
        <v>中</v>
      </c>
      <c r="C479" s="3" t="str">
        <f>"一蝶画譜 / 英一蝶原画 ; 鈴木鄰松 ; 中・下, 中, 下.-- 青雲堂英文蔵[ほか]; 明和7(1770)年1月跋刊."</f>
        <v>一蝶画譜 / 英一蝶原画 ; 鈴木鄰松 ; 中・下, 中, 下.-- 青雲堂英文蔵[ほか]; 明和7(1770)年1月跋刊.</v>
      </c>
    </row>
    <row r="480" spans="1:3" ht="11.25">
      <c r="A480" s="3" t="str">
        <f>"721/6/3/MASAOKA"</f>
        <v>721/6/3/MASAOKA</v>
      </c>
      <c r="B480" s="3" t="str">
        <f>"下"</f>
        <v>下</v>
      </c>
      <c r="C480" s="3" t="str">
        <f>"一蝶画譜 / 英一蝶原画 ; 鈴木鄰松 ; 中・下, 中, 下.-- 青雲堂英文蔵[ほか]; 明和7(1770)年1月跋刊."</f>
        <v>一蝶画譜 / 英一蝶原画 ; 鈴木鄰松 ; 中・下, 中, 下.-- 青雲堂英文蔵[ほか]; 明和7(1770)年1月跋刊.</v>
      </c>
    </row>
    <row r="481" spans="1:3" ht="11.25">
      <c r="A481" s="3" t="str">
        <f>"721/7//MASAOKA"</f>
        <v>721/7//MASAOKA</v>
      </c>
      <c r="B481" s="3">
        <f>""</f>
      </c>
      <c r="C481" s="3" t="str">
        <f>"画本後篇 / 法眼春卜愛董画 ; 巻6.-- 大野木市兵衛; 寛延3(1750)年3月刊."</f>
        <v>画本後篇 / 法眼春卜愛董画 ; 巻6.-- 大野木市兵衛; 寛延3(1750)年3月刊.</v>
      </c>
    </row>
    <row r="482" spans="1:3" ht="11.25">
      <c r="A482" s="3" t="str">
        <f>"721/8//MASAOKA"</f>
        <v>721/8//MASAOKA</v>
      </c>
      <c r="B482" s="3">
        <f>""</f>
      </c>
      <c r="C482" s="3" t="str">
        <f>"景文花鳥画譜 / 景文画.-- [出版者不明]; 明治27(1894)年4月."</f>
        <v>景文花鳥画譜 / 景文画.-- [出版者不明]; 明治27(1894)年4月.</v>
      </c>
    </row>
    <row r="483" spans="1:3" ht="11.25">
      <c r="A483" s="3" t="str">
        <f>"721/10//MASAOKA"</f>
        <v>721/10//MASAOKA</v>
      </c>
      <c r="B483" s="3">
        <f>""</f>
      </c>
      <c r="C483" s="3" t="str">
        <f>"不形画藪 / [張月樵画].-- 永楽屋東四郎,松屋善兵衛; 文化14(1817)年4月刊."</f>
        <v>不形画藪 / [張月樵画].-- 永楽屋東四郎,松屋善兵衛; 文化14(1817)年4月刊.</v>
      </c>
    </row>
    <row r="484" spans="1:3" ht="11.25">
      <c r="A484" s="3" t="str">
        <f>"721/11//MASAOKA"</f>
        <v>721/11//MASAOKA</v>
      </c>
      <c r="B484" s="3" t="str">
        <f>"沿革門"</f>
        <v>沿革門</v>
      </c>
      <c r="C484" s="3" t="str">
        <f>"日本美術全書 / [アンデルソン著] 末松謙澄訳補 ; 沿革門.-- 八尾新助; 明治29(1896)年7月."</f>
        <v>日本美術全書 / [アンデルソン著] 末松謙澄訳補 ; 沿革門.-- 八尾新助; 明治29(1896)年7月.</v>
      </c>
    </row>
    <row r="485" spans="1:3" ht="11.25">
      <c r="A485" s="3" t="str">
        <f>"721/12//MASAOKA"</f>
        <v>721/12//MASAOKA</v>
      </c>
      <c r="B485" s="3" t="str">
        <f>"全"</f>
        <v>全</v>
      </c>
      <c r="C485" s="3" t="str">
        <f>"光琳画式 / 尾形光琳画 合川?和編 ; 全.-- 大倉孫兵衛; 明治22(1889)年5月."</f>
        <v>光琳画式 / 尾形光琳画 合川?和編 ; 全.-- 大倉孫兵衛; 明治22(1889)年5月.</v>
      </c>
    </row>
    <row r="486" spans="1:3" ht="11.25">
      <c r="A486" s="3" t="str">
        <f>"721/13/1/MASAOKA"</f>
        <v>721/13/1/MASAOKA</v>
      </c>
      <c r="B486" s="3" t="str">
        <f>"上"</f>
        <v>上</v>
      </c>
      <c r="C486" s="3" t="str">
        <f>"光琳百図 / 尾形光琳画 ; 上・下,後編上・下 - 後編下.-- 松本貞; 明治23(1890)年9月."</f>
        <v>光琳百図 / 尾形光琳画 ; 上・下,後編上・下 - 後編下.-- 松本貞; 明治23(1890)年9月.</v>
      </c>
    </row>
    <row r="487" spans="1:3" ht="11.25">
      <c r="A487" s="3" t="str">
        <f>"721/13/2/MASAOKA"</f>
        <v>721/13/2/MASAOKA</v>
      </c>
      <c r="B487" s="3" t="str">
        <f>"下"</f>
        <v>下</v>
      </c>
      <c r="C487" s="3" t="str">
        <f>"光琳百図 / 尾形光琳画 ; 上・下,後編上・下 - 後編下.-- 松本貞; 明治23(1890)年9月."</f>
        <v>光琳百図 / 尾形光琳画 ; 上・下,後編上・下 - 後編下.-- 松本貞; 明治23(1890)年9月.</v>
      </c>
    </row>
    <row r="488" spans="1:3" ht="11.25">
      <c r="A488" s="3" t="str">
        <f>"721/13/3/MASAOKA"</f>
        <v>721/13/3/MASAOKA</v>
      </c>
      <c r="B488" s="3" t="str">
        <f>"後編上"</f>
        <v>後編上</v>
      </c>
      <c r="C488" s="3" t="str">
        <f>"光琳百図 / 尾形光琳画 ; 上・下,後編上・下 - 後編下.-- 松本貞; 明治23(1890)年9月."</f>
        <v>光琳百図 / 尾形光琳画 ; 上・下,後編上・下 - 後編下.-- 松本貞; 明治23(1890)年9月.</v>
      </c>
    </row>
    <row r="489" spans="1:3" ht="11.25">
      <c r="A489" s="3" t="str">
        <f>"721/13/4/MASAOKA"</f>
        <v>721/13/4/MASAOKA</v>
      </c>
      <c r="B489" s="3" t="str">
        <f>"後編下"</f>
        <v>後編下</v>
      </c>
      <c r="C489" s="3" t="str">
        <f>"光琳百図 / 尾形光琳画 ; 上・下,後編上・下 - 後編下.-- 松本貞; 明治23(1890)年9月."</f>
        <v>光琳百図 / 尾形光琳画 ; 上・下,後編上・下 - 後編下.-- 松本貞; 明治23(1890)年9月.</v>
      </c>
    </row>
    <row r="490" spans="1:3" ht="11.25">
      <c r="A490" s="3" t="str">
        <f>"721/14/1/MASAOKA"</f>
        <v>721/14/1/MASAOKA</v>
      </c>
      <c r="B490" s="3" t="str">
        <f>"初編"</f>
        <v>初編</v>
      </c>
      <c r="C490" s="3" t="str">
        <f>"花鳥山水図式 [葛飾為斎画] ; 初編,2編, 初編, 2編.-- 玉山堂; [嘉永2(1849)-文久1(1861)年刊]."</f>
        <v>花鳥山水図式 [葛飾為斎画] ; 初編,2編, 初編, 2編.-- 玉山堂; [嘉永2(1849)-文久1(1861)年刊].</v>
      </c>
    </row>
    <row r="491" spans="1:3" ht="11.25">
      <c r="A491" s="3" t="str">
        <f>"721/14/2/MASAOKA"</f>
        <v>721/14/2/MASAOKA</v>
      </c>
      <c r="B491" s="3" t="str">
        <f>"2編"</f>
        <v>2編</v>
      </c>
      <c r="C491" s="3" t="str">
        <f>"花鳥山水図式 [葛飾為斎画] ; 初編,2編, 初編, 2編.-- 玉山堂; [嘉永2(1849)-文久1(1861)年刊]."</f>
        <v>花鳥山水図式 [葛飾為斎画] ; 初編,2編, 初編, 2編.-- 玉山堂; [嘉永2(1849)-文久1(1861)年刊].</v>
      </c>
    </row>
    <row r="492" spans="1:3" ht="11.25">
      <c r="A492" s="3" t="str">
        <f>"721/15//MASAOKA"</f>
        <v>721/15//MASAOKA</v>
      </c>
      <c r="B492" s="3" t="str">
        <f>"初編"</f>
        <v>初編</v>
      </c>
      <c r="C492" s="3" t="str">
        <f>"富岳真景 / 一立斎広重画 ; 初編.-- 大倉孫兵衛; 明治22(1889)年8月."</f>
        <v>富岳真景 / 一立斎広重画 ; 初編.-- 大倉孫兵衛; 明治22(1889)年8月.</v>
      </c>
    </row>
    <row r="493" spans="1:3" ht="11.25">
      <c r="A493" s="3" t="str">
        <f>"721/16//MASAOKA"</f>
        <v>721/16//MASAOKA</v>
      </c>
      <c r="B493" s="3">
        <f>""</f>
      </c>
      <c r="C493" s="3" t="str">
        <f>"増補浮世絵類考 / 本間光則.-- 万松堂; 明治23(1890)年5月."</f>
        <v>増補浮世絵類考 / 本間光則.-- 万松堂; 明治23(1890)年5月.</v>
      </c>
    </row>
    <row r="494" spans="1:3" ht="11.25">
      <c r="A494" s="3" t="str">
        <f>"721/17//MASAOKA"</f>
        <v>721/17//MASAOKA</v>
      </c>
      <c r="B494" s="3">
        <f>""</f>
      </c>
      <c r="C494" s="3" t="str">
        <f>"とはえ / 長原孝太郎編 ; 1.-- 長原孝太郎; 明治26(1893)年12月."</f>
        <v>とはえ / 長原孝太郎編 ; 1.-- 長原孝太郎; 明治26(1893)年12月.</v>
      </c>
    </row>
    <row r="495" spans="1:3" ht="11.25">
      <c r="A495" s="3" t="str">
        <f>"721/18//MASAOKA"</f>
        <v>721/18//MASAOKA</v>
      </c>
      <c r="B495" s="3">
        <f>""</f>
      </c>
      <c r="C495" s="3" t="str">
        <f>"絵本誉之魁 / 北尾紅翠斎(重政)[画].-- 花尾久治郎; 文化7(1810)年4月刊."</f>
        <v>絵本誉之魁 / 北尾紅翠斎(重政)[画].-- 花尾久治郎; 文化7(1810)年4月刊.</v>
      </c>
    </row>
    <row r="496" spans="1:3" ht="11.25">
      <c r="A496" s="3" t="str">
        <f>"721/19/2/MASAOKA"</f>
        <v>721/19/2/MASAOKA</v>
      </c>
      <c r="B496" s="3" t="str">
        <f>"2"</f>
        <v>2</v>
      </c>
      <c r="C496" s="3" t="str">
        <f>"写錦袋 / 橘守国[画] ; 2.-- [出版者不明]; [出版年不明]."</f>
        <v>写錦袋 / 橘守国[画] ; 2.-- [出版者不明]; [出版年不明].</v>
      </c>
    </row>
    <row r="497" spans="1:3" ht="11.25">
      <c r="A497" s="3" t="str">
        <f>"721/19/7/MASAOKA"</f>
        <v>721/19/7/MASAOKA</v>
      </c>
      <c r="B497" s="3" t="str">
        <f>"後編7"</f>
        <v>後編7</v>
      </c>
      <c r="C497" s="3" t="str">
        <f>"絵本写錦袋 / [橘守国画] ; 後編7.-- [出版年不明]."</f>
        <v>絵本写錦袋 / [橘守国画] ; 後編7.-- [出版年不明].</v>
      </c>
    </row>
    <row r="498" spans="1:3" ht="11.25">
      <c r="A498" s="3" t="str">
        <f>"721/20/1/MASAOKA"</f>
        <v>721/20/1/MASAOKA</v>
      </c>
      <c r="B498" s="3" t="str">
        <f>"初編"</f>
        <v>初編</v>
      </c>
      <c r="C498" s="3" t="str">
        <f>"富岳百景 / 葛飾北斎画 ; 初編-3編 - 3編.-- 片野東四郎; 明治8(1875)年12月."</f>
        <v>富岳百景 / 葛飾北斎画 ; 初編-3編 - 3編.-- 片野東四郎; 明治8(1875)年12月.</v>
      </c>
    </row>
    <row r="499" spans="1:3" ht="11.25">
      <c r="A499" s="3" t="str">
        <f>"721/20/2/MASAOKA"</f>
        <v>721/20/2/MASAOKA</v>
      </c>
      <c r="B499" s="3" t="str">
        <f>"2編"</f>
        <v>2編</v>
      </c>
      <c r="C499" s="3" t="str">
        <f>"富岳百景 / 葛飾北斎画 ; 初編-3編 - 3編.-- 片野東四郎; 明治8(1875)年12月."</f>
        <v>富岳百景 / 葛飾北斎画 ; 初編-3編 - 3編.-- 片野東四郎; 明治8(1875)年12月.</v>
      </c>
    </row>
    <row r="500" spans="1:3" ht="11.25">
      <c r="A500" s="3" t="str">
        <f>"721/20/3/MASAOKA"</f>
        <v>721/20/3/MASAOKA</v>
      </c>
      <c r="B500" s="3" t="str">
        <f>"3編"</f>
        <v>3編</v>
      </c>
      <c r="C500" s="3" t="str">
        <f>"富岳百景 / 葛飾北斎画 ; 初編-3編 - 3編.-- 片野東四郎; 明治8(1875)年12月."</f>
        <v>富岳百景 / 葛飾北斎画 ; 初編-3編 - 3編.-- 片野東四郎; 明治8(1875)年12月.</v>
      </c>
    </row>
    <row r="501" spans="1:3" ht="11.25">
      <c r="A501" s="3" t="str">
        <f>"721/21//MASAOKA"</f>
        <v>721/21//MASAOKA</v>
      </c>
      <c r="B501" s="3" t="str">
        <f>"全"</f>
        <v>全</v>
      </c>
      <c r="C501" s="3" t="str">
        <f>"運筆麁画 / 橘守国[画] ; 全.-- 渋川与左衛門; 寛延2(1749)年9月刊."</f>
        <v>運筆麁画 / 橘守国[画] ; 全.-- 渋川与左衛門; 寛延2(1749)年9月刊.</v>
      </c>
    </row>
    <row r="502" spans="1:3" ht="11.25">
      <c r="A502" s="3" t="str">
        <f>"721/22//MASAOKA"</f>
        <v>721/22//MASAOKA</v>
      </c>
      <c r="B502" s="3">
        <f>""</f>
      </c>
      <c r="C502" s="3" t="str">
        <f>"一掃百態 / 渡辺華山(登).-- 金楽堂,渡辺諧; 明治17(1884)年6月."</f>
        <v>一掃百態 / 渡辺華山(登).-- 金楽堂,渡辺諧; 明治17(1884)年6月.</v>
      </c>
    </row>
    <row r="503" spans="1:3" ht="11.25">
      <c r="A503" s="3" t="str">
        <f>"721/23//MASAOKA"</f>
        <v>721/23//MASAOKA</v>
      </c>
      <c r="B503" s="3">
        <f>""</f>
      </c>
      <c r="C503" s="3" t="str">
        <f>"八犬伝芳流閣ノ傷他 / 国芳国貞[画].-- 鶴喜[ほか]; [出版年不明]."</f>
        <v>八犬伝芳流閣ノ傷他 / 国芳国貞[画].-- 鶴喜[ほか]; [出版年不明].</v>
      </c>
    </row>
    <row r="504" spans="1:3" ht="11.25">
      <c r="A504" s="3" t="str">
        <f>"721/24//MASAOKA"</f>
        <v>721/24//MASAOKA</v>
      </c>
      <c r="B504" s="3">
        <f>""</f>
      </c>
      <c r="C504" s="3" t="str">
        <f>"大津絵 : 名産 / [著者不明].-- [出版者不明]; [出版年不明]."</f>
        <v>大津絵 : 名産 / [著者不明].-- [出版者不明]; [出版年不明].</v>
      </c>
    </row>
    <row r="505" spans="1:3" ht="11.25">
      <c r="A505" s="3" t="str">
        <f>"721/25//MASAOKA"</f>
        <v>721/25//MASAOKA</v>
      </c>
      <c r="B505" s="3">
        <f>""</f>
      </c>
      <c r="C505" s="3" t="str">
        <f>"新形三十六怪撰 / 芳李[画].-- 佐々木豊吉[ほか]; 明治22-23(1889-1890)年."</f>
        <v>新形三十六怪撰 / 芳李[画].-- 佐々木豊吉[ほか]; 明治22-23(1889-1890)年.</v>
      </c>
    </row>
    <row r="506" spans="1:3" ht="11.25">
      <c r="A506" s="3" t="str">
        <f>"721/26//MASAOKA"</f>
        <v>721/26//MASAOKA</v>
      </c>
      <c r="B506" s="3">
        <f>""</f>
      </c>
      <c r="C506" s="3" t="str">
        <f>"足利靄世代 . 江戸名所百人美女 / 豊国[画].-- 若狭屋[ほか]; [出版年不明]."</f>
        <v>足利靄世代 . 江戸名所百人美女 / 豊国[画].-- 若狭屋[ほか]; [出版年不明].</v>
      </c>
    </row>
    <row r="507" spans="1:3" ht="11.25">
      <c r="A507" s="3" t="str">
        <f>"721/27//MASAOKA"</f>
        <v>721/27//MASAOKA</v>
      </c>
      <c r="B507" s="3">
        <f>""</f>
      </c>
      <c r="C507" s="3" t="str">
        <f>"編笠茶屋・螢狩[他] / 円活[刀].-- 秋山武右衛門; 明治24(1891)年."</f>
        <v>編笠茶屋・螢狩[他] / 円活[刀].-- 秋山武右衛門; 明治24(1891)年.</v>
      </c>
    </row>
    <row r="508" spans="1:3" ht="11.25">
      <c r="A508" s="3" t="str">
        <f>"721/28//MASAOKA"</f>
        <v>721/28//MASAOKA</v>
      </c>
      <c r="B508" s="3">
        <f>""</f>
      </c>
      <c r="C508" s="3" t="str">
        <f>"猿楽月・五條橋の月[他] / 山本,円活[ほか作].-- 秋山武右エ門; 明治19-23(1886-1890)年."</f>
        <v>猿楽月・五條橋の月[他] / 山本,円活[ほか作].-- 秋山武右エ門; 明治19-23(1886-1890)年.</v>
      </c>
    </row>
    <row r="509" spans="1:3" ht="11.25">
      <c r="A509" s="3" t="str">
        <f>"721/29//MASAOKA"</f>
        <v>721/29//MASAOKA</v>
      </c>
      <c r="B509" s="3">
        <f>""</f>
      </c>
      <c r="C509" s="3" t="str">
        <f>"源氏夕顔巻・銀河の月[他] / 山本,円活[刃].-- 秋山武右エ門; 明治18-24(1885-1891)年."</f>
        <v>源氏夕顔巻・銀河の月[他] / 山本,円活[刃].-- 秋山武右エ門; 明治18-24(1885-1891)年.</v>
      </c>
    </row>
    <row r="510" spans="1:3" ht="11.25">
      <c r="A510" s="3" t="str">
        <f>"721/30//MASAOKA"</f>
        <v>721/30//MASAOKA</v>
      </c>
      <c r="B510" s="3">
        <f>""</f>
      </c>
      <c r="C510" s="3" t="str">
        <f>"姥捨月・垣間見の月 / 山本,円活,義久[刃].-- 秋山武右エ門; 明治18-24(1885-1891)年."</f>
        <v>姥捨月・垣間見の月 / 山本,円活,義久[刃].-- 秋山武右エ門; 明治18-24(1885-1891)年.</v>
      </c>
    </row>
    <row r="511" spans="1:3" ht="11.25">
      <c r="A511" s="3" t="str">
        <f>"721/31//MASAOKA"</f>
        <v>721/31//MASAOKA</v>
      </c>
      <c r="B511" s="3">
        <f>""</f>
      </c>
      <c r="C511" s="3" t="str">
        <f>"月夜釜・むさしの月[他] / 円活,山本[刃].-- 秋山武右エ門; 明治18-22(1885-1889)年."</f>
        <v>月夜釜・むさしの月[他] / 円活,山本[刃].-- 秋山武右エ門; 明治18-22(1885-1889)年.</v>
      </c>
    </row>
    <row r="512" spans="1:3" ht="11.25">
      <c r="A512" s="3" t="str">
        <f>"721/32//MASAOKA"</f>
        <v>721/32//MASAOKA</v>
      </c>
      <c r="B512" s="3">
        <f>""</f>
      </c>
      <c r="C512" s="3" t="str">
        <f>"一勇斎国芳戯画[他] / 一勇斎国芳[画].-- 菊市[板元]; [出版年不明]."</f>
        <v>一勇斎国芳戯画[他] / 一勇斎国芳[画].-- 菊市[板元]; [出版年不明].</v>
      </c>
    </row>
    <row r="513" spans="1:3" ht="11.25">
      <c r="A513" s="3" t="str">
        <f>"721/33//MASAOKA"</f>
        <v>721/33//MASAOKA</v>
      </c>
      <c r="B513" s="3">
        <f>""</f>
      </c>
      <c r="C513" s="3" t="str">
        <f>"東海道五十三次[他] / 安藤広重[ほか画].-- 大倉孫兵衛[ほか]; 明治22(1889)年."</f>
        <v>東海道五十三次[他] / 安藤広重[ほか画].-- 大倉孫兵衛[ほか]; 明治22(1889)年.</v>
      </c>
    </row>
    <row r="514" spans="1:3" ht="11.25">
      <c r="A514" s="3" t="str">
        <f>"721/34//MASAOKA"</f>
        <v>721/34//MASAOKA</v>
      </c>
      <c r="B514" s="3">
        <f>""</f>
      </c>
      <c r="C514" s="3" t="str">
        <f>"駱駝之図・市川団十郎[他] / 豊国[ほか画].-- 森屋治兵衛[板元]; [出版年不明]."</f>
        <v>駱駝之図・市川団十郎[他] / 豊国[ほか画].-- 森屋治兵衛[板元]; [出版年不明].</v>
      </c>
    </row>
    <row r="515" spans="1:3" ht="11.25">
      <c r="A515" s="3" t="str">
        <f>"721/35//MASAOKA"</f>
        <v>721/35//MASAOKA</v>
      </c>
      <c r="B515" s="3">
        <f>""</f>
      </c>
      <c r="C515" s="3" t="str">
        <f>"錦絵集 / 一陽斎豊国[ほか画].-- 林庄[板]; [出版年不明]."</f>
        <v>錦絵集 / 一陽斎豊国[ほか画].-- 林庄[板]; [出版年不明].</v>
      </c>
    </row>
    <row r="516" spans="1:3" ht="11.25">
      <c r="A516" s="3" t="str">
        <f>"721/36/1/MASAOKA"</f>
        <v>721/36/1/MASAOKA</v>
      </c>
      <c r="B516" s="3" t="str">
        <f>"上巻"</f>
        <v>上巻</v>
      </c>
      <c r="C516" s="3" t="str">
        <f>"墨水廿四景記 / 杉山令,依田貞継選 依田百川纂補 ; 上・下巻, 上巻, 下巻.-- 吉川半七; 明治15(1882)年5月."</f>
        <v>墨水廿四景記 / 杉山令,依田貞継選 依田百川纂補 ; 上・下巻, 上巻, 下巻.-- 吉川半七; 明治15(1882)年5月.</v>
      </c>
    </row>
    <row r="517" spans="1:3" ht="11.25">
      <c r="A517" s="3" t="str">
        <f>"721/36/2/MASAOKA"</f>
        <v>721/36/2/MASAOKA</v>
      </c>
      <c r="B517" s="3" t="str">
        <f>"下巻"</f>
        <v>下巻</v>
      </c>
      <c r="C517" s="3" t="str">
        <f>"墨水廿四景記 / 杉山令,依田貞継選 依田百川纂補 ; 上・下巻, 上巻, 下巻.-- 吉川半七; 明治15(1882)年5月."</f>
        <v>墨水廿四景記 / 杉山令,依田貞継選 依田百川纂補 ; 上・下巻, 上巻, 下巻.-- 吉川半七; 明治15(1882)年5月.</v>
      </c>
    </row>
    <row r="518" spans="1:3" ht="11.25">
      <c r="A518" s="3" t="str">
        <f>"721/37//MASAOKA"</f>
        <v>721/37//MASAOKA</v>
      </c>
      <c r="B518" s="3" t="str">
        <f>"12編"</f>
        <v>12編</v>
      </c>
      <c r="C518" s="3" t="str">
        <f>"北斎漫画 / 葛飾北斎画 ; 12編.-- [出版者不明]; [出版年不明]."</f>
        <v>北斎漫画 / 葛飾北斎画 ; 12編.-- [出版者不明]; [出版年不明].</v>
      </c>
    </row>
    <row r="519" spans="1:3" ht="11.25">
      <c r="A519" s="3" t="str">
        <f>"721/38//MASAOKA"</f>
        <v>721/38//MASAOKA</v>
      </c>
      <c r="B519" s="3">
        <f>""</f>
      </c>
      <c r="C519" s="3" t="str">
        <f>"絵師草紙 / [水野忠央編].-- 河井岩五郎; 明治17(1884)年10月刊.-- (丹鶴叢書 ; 己酉帙)."</f>
        <v>絵師草紙 / [水野忠央編].-- 河井岩五郎; 明治17(1884)年10月刊.-- (丹鶴叢書 ; 己酉帙).</v>
      </c>
    </row>
    <row r="520" spans="1:3" ht="11.25">
      <c r="A520" s="3" t="str">
        <f>"722/1/359/MASAOKA"</f>
        <v>722/1/359/MASAOKA</v>
      </c>
      <c r="B520" s="3" t="str">
        <f>"359号"</f>
        <v>359号</v>
      </c>
      <c r="C520" s="3" t="str">
        <f>"点石斎画報 / [著者不明] ; 359-360号, 359号, 360号.-- [出版者不明]; 光緒19(1893)年11-12月."</f>
        <v>点石斎画報 / [著者不明] ; 359-360号, 359号, 360号.-- [出版者不明]; 光緒19(1893)年11-12月.</v>
      </c>
    </row>
    <row r="521" spans="1:3" ht="11.25">
      <c r="A521" s="3" t="str">
        <f>"722/1/360/MASAOKA"</f>
        <v>722/1/360/MASAOKA</v>
      </c>
      <c r="B521" s="3" t="str">
        <f>"360号"</f>
        <v>360号</v>
      </c>
      <c r="C521" s="3" t="str">
        <f>"点石斎画報 / [著者不明] ; 359-360号, 359号, 360号.-- [出版者不明]; 光緒19(1893)年11-12月."</f>
        <v>点石斎画報 / [著者不明] ; 359-360号, 359号, 360号.-- [出版者不明]; 光緒19(1893)年11-12月.</v>
      </c>
    </row>
    <row r="522" spans="1:3" ht="11.25">
      <c r="A522" s="3" t="str">
        <f>"722/2//MASAOKA"</f>
        <v>722/2//MASAOKA</v>
      </c>
      <c r="B522" s="3" t="str">
        <f>"121号"</f>
        <v>121号</v>
      </c>
      <c r="C522" s="3" t="str">
        <f>"飛影閣士記画報 / [著者不明] ; 121号.-- [出版者不明]; 光緒19(1893)年12月."</f>
        <v>飛影閣士記画報 / [著者不明] ; 121号.-- [出版者不明]; 光緒19(1893)年12月.</v>
      </c>
    </row>
    <row r="523" spans="1:3" ht="11.25">
      <c r="A523" s="3" t="str">
        <f>"728/1/1/MASAOKA"</f>
        <v>728/1/1/MASAOKA</v>
      </c>
      <c r="B523" s="3" t="str">
        <f>"上"</f>
        <v>上</v>
      </c>
      <c r="C523" s="3" t="str">
        <f>"本朝名公墨宝 / [著者不明] ; 上・中・下 - 下.-- [出版者不明]; 正保2(1645)年11月跋刊."</f>
        <v>本朝名公墨宝 / [著者不明] ; 上・中・下 - 下.-- [出版者不明]; 正保2(1645)年11月跋刊.</v>
      </c>
    </row>
    <row r="524" spans="1:3" ht="11.25">
      <c r="A524" s="3" t="str">
        <f>"728/1/2/MASAOKA"</f>
        <v>728/1/2/MASAOKA</v>
      </c>
      <c r="B524" s="3" t="str">
        <f>"中"</f>
        <v>中</v>
      </c>
      <c r="C524" s="3" t="str">
        <f>"本朝名公墨宝 / [著者不明] ; 上・中・下 - 下.-- [出版者不明]; 正保2(1645)年11月跋刊."</f>
        <v>本朝名公墨宝 / [著者不明] ; 上・中・下 - 下.-- [出版者不明]; 正保2(1645)年11月跋刊.</v>
      </c>
    </row>
    <row r="525" spans="1:3" ht="11.25">
      <c r="A525" s="3" t="str">
        <f>"728/1/3/MASAOKA"</f>
        <v>728/1/3/MASAOKA</v>
      </c>
      <c r="B525" s="3" t="str">
        <f>"下"</f>
        <v>下</v>
      </c>
      <c r="C525" s="3" t="str">
        <f>"本朝名公墨宝 / [著者不明] ; 上・中・下 - 下.-- [出版者不明]; 正保2(1645)年11月跋刊."</f>
        <v>本朝名公墨宝 / [著者不明] ; 上・中・下 - 下.-- [出版者不明]; 正保2(1645)年11月跋刊.</v>
      </c>
    </row>
    <row r="526" spans="1:3" ht="11.25">
      <c r="A526" s="3" t="str">
        <f>"728/2/1/MASAOKA"</f>
        <v>728/2/1/MASAOKA</v>
      </c>
      <c r="B526" s="3" t="str">
        <f>"上"</f>
        <v>上</v>
      </c>
      <c r="C526" s="3" t="str">
        <f>"近古名流手蹟 / 深山一郎 ; 上・中・下 - 下.-- 成章堂; 明治34(1901)年5月."</f>
        <v>近古名流手蹟 / 深山一郎 ; 上・中・下 - 下.-- 成章堂; 明治34(1901)年5月.</v>
      </c>
    </row>
    <row r="527" spans="1:3" ht="11.25">
      <c r="A527" s="3" t="str">
        <f>"728/2/2/MASAOKA"</f>
        <v>728/2/2/MASAOKA</v>
      </c>
      <c r="B527" s="3" t="str">
        <f>"中"</f>
        <v>中</v>
      </c>
      <c r="C527" s="3" t="str">
        <f>"近古名流手蹟 / 深山一郎 ; 上・中・下 - 下.-- 成章堂; 明治34(1901)年5月."</f>
        <v>近古名流手蹟 / 深山一郎 ; 上・中・下 - 下.-- 成章堂; 明治34(1901)年5月.</v>
      </c>
    </row>
    <row r="528" spans="1:3" ht="11.25">
      <c r="A528" s="3" t="str">
        <f>"728/2/3/MASAOKA"</f>
        <v>728/2/3/MASAOKA</v>
      </c>
      <c r="B528" s="3" t="str">
        <f>"下"</f>
        <v>下</v>
      </c>
      <c r="C528" s="3" t="str">
        <f>"近古名流手蹟 / 深山一郎 ; 上・中・下 - 下.-- 成章堂; 明治34(1901)年5月."</f>
        <v>近古名流手蹟 / 深山一郎 ; 上・中・下 - 下.-- 成章堂; 明治34(1901)年5月.</v>
      </c>
    </row>
    <row r="529" spans="1:3" ht="11.25">
      <c r="A529" s="3" t="str">
        <f>"728/4//MASAOKA"</f>
        <v>728/4//MASAOKA</v>
      </c>
      <c r="B529" s="3">
        <f>""</f>
      </c>
      <c r="C529" s="3" t="str">
        <f>"尊円親王 手本 / [著者不明].-- [出版者不明]; [出版年不明]."</f>
        <v>尊円親王 手本 / [著者不明].-- [出版者不明]; [出版年不明].</v>
      </c>
    </row>
    <row r="530" spans="1:3" ht="11.25">
      <c r="A530" s="3" t="str">
        <f>"728/6//MASAOKA"</f>
        <v>728/6//MASAOKA</v>
      </c>
      <c r="B530" s="3" t="str">
        <f>"続編"</f>
        <v>続編</v>
      </c>
      <c r="C530" s="3" t="str">
        <f>"新撰増補和漢書画一覧 / 石文山人著 谷壮太郎増輯 ; 続編.-- 松田幸助; 明治16(1883)年11月."</f>
        <v>新撰増補和漢書画一覧 / 石文山人著 谷壮太郎増輯 ; 続編.-- 松田幸助; 明治16(1883)年11月.</v>
      </c>
    </row>
    <row r="531" spans="1:3" ht="11.25">
      <c r="A531" s="3" t="str">
        <f>"728/7//MASAOKA"</f>
        <v>728/7//MASAOKA</v>
      </c>
      <c r="B531" s="3">
        <f>""</f>
      </c>
      <c r="C531" s="3" t="str">
        <f>"慊堂松崎先生遺墨 / 山下重房.-- 山下重房; 明治22(1889)年3月."</f>
        <v>慊堂松崎先生遺墨 / 山下重房.-- 山下重房; 明治22(1889)年3月.</v>
      </c>
    </row>
    <row r="532" spans="1:3" ht="11.25">
      <c r="A532" s="3" t="str">
        <f>"739/1//MASAOKA"</f>
        <v>739/1//MASAOKA</v>
      </c>
      <c r="B532" s="3">
        <f>""</f>
      </c>
      <c r="C532" s="3" t="str">
        <f>"?印補遺 / [細谷石隠].-- 河内屋喜兵衛[ほか3軒]; 文化7(1811)年5月刊."</f>
        <v>?印補遺 / [細谷石隠].-- 河内屋喜兵衛[ほか3軒]; 文化7(1811)年5月刊.</v>
      </c>
    </row>
    <row r="533" spans="1:3" ht="11.25">
      <c r="A533" s="3" t="str">
        <f>"753/1/1/MASAOKA"</f>
        <v>753/1/1/MASAOKA</v>
      </c>
      <c r="B533" s="3" t="str">
        <f>"1"</f>
        <v>1</v>
      </c>
      <c r="C533" s="3" t="str">
        <f>"古今名物きれ / 内藤彦一 ; 1-2, 1, 2.-- 内藤彦一; 明治16(1883)年4月."</f>
        <v>古今名物きれ / 内藤彦一 ; 1-2, 1, 2.-- 内藤彦一; 明治16(1883)年4月.</v>
      </c>
    </row>
    <row r="534" spans="1:3" ht="11.25">
      <c r="A534" s="3" t="str">
        <f>"753/1/2/MASAOKA"</f>
        <v>753/1/2/MASAOKA</v>
      </c>
      <c r="B534" s="3" t="str">
        <f>"2"</f>
        <v>2</v>
      </c>
      <c r="C534" s="3" t="str">
        <f>"古今名物きれ / 内藤彦一 ; 1-2, 1, 2.-- 内藤彦一; 明治16(1883)年4月."</f>
        <v>古今名物きれ / 内藤彦一 ; 1-2, 1, 2.-- 内藤彦一; 明治16(1883)年4月.</v>
      </c>
    </row>
    <row r="535" spans="1:3" ht="11.25">
      <c r="A535" s="3" t="str">
        <f>"753/2//MASAOKA"</f>
        <v>753/2//MASAOKA</v>
      </c>
      <c r="B535" s="3">
        <f>""</f>
      </c>
      <c r="C535" s="3" t="str">
        <f>"古代綾錦集 / [著者不明] ; 全.-- [出版者不明]; 明治21(1888)年."</f>
        <v>古代綾錦集 / [著者不明] ; 全.-- [出版者不明]; 明治21(1888)年.</v>
      </c>
    </row>
    <row r="536" spans="1:3" ht="11.25">
      <c r="A536" s="3" t="str">
        <f>"753/3//MASAOKA"</f>
        <v>753/3//MASAOKA</v>
      </c>
      <c r="B536" s="3">
        <f>""</f>
      </c>
      <c r="C536" s="3" t="str">
        <f>"きれ本昔模様 / [著者不明].-- [出版者不明]; [出版年不明]."</f>
        <v>きれ本昔模様 / [著者不明].-- [出版者不明]; [出版年不明].</v>
      </c>
    </row>
    <row r="537" spans="1:3" ht="11.25">
      <c r="A537" s="3" t="str">
        <f>"759/1//MASAOKA"</f>
        <v>759/1//MASAOKA</v>
      </c>
      <c r="B537" s="3">
        <f>""</f>
      </c>
      <c r="C537" s="3" t="str">
        <f>"うないの友 / 清水晴風.-- 芸草堂; 明治24(1894)年10月."</f>
        <v>うないの友 / 清水晴風.-- 芸草堂; 明治24(1894)年10月.</v>
      </c>
    </row>
    <row r="538" spans="1:3" ht="11.25">
      <c r="A538" s="3" t="str">
        <f>"768/1//MASAOKA"</f>
        <v>768/1//MASAOKA</v>
      </c>
      <c r="B538" s="3">
        <f>""</f>
      </c>
      <c r="C538" s="3" t="str">
        <f>"東京女義太夫芸評 / 桜井徳太郎.-- 博盛堂; 明治24(1891)年10月."</f>
        <v>東京女義太夫芸評 / 桜井徳太郎.-- 博盛堂; 明治24(1891)年10月.</v>
      </c>
    </row>
    <row r="539" spans="1:3" ht="11.25">
      <c r="A539" s="3" t="str">
        <f>"768/2//MASAOKA"</f>
        <v>768/2//MASAOKA</v>
      </c>
      <c r="B539" s="3">
        <f>""</f>
      </c>
      <c r="C539" s="3" t="str">
        <f>"薩摩琵琶歌 / 四竈訥治編 ; 初編.-- 三三文房; 明治24(1891)年11月."</f>
        <v>薩摩琵琶歌 / 四竈訥治編 ; 初編.-- 三三文房; 明治24(1891)年11月.</v>
      </c>
    </row>
    <row r="540" spans="1:3" ht="11.25">
      <c r="A540" s="3" t="str">
        <f>"768/3/1/MASAOKA"</f>
        <v>768/3/1/MASAOKA</v>
      </c>
      <c r="B540" s="3" t="str">
        <f>"初編"</f>
        <v>初編</v>
      </c>
      <c r="C540" s="3" t="str">
        <f>"東都糸竹 / [著者不明] ; 初編.-- 綿屋喜兵衛; [出版年不明]."</f>
        <v>東都糸竹 / [著者不明] ; 初編.-- 綿屋喜兵衛; [出版年不明].</v>
      </c>
    </row>
    <row r="541" spans="1:3" ht="11.25">
      <c r="A541" s="3" t="str">
        <f>"768/4/2/MASAOKA"</f>
        <v>768/4/2/MASAOKA</v>
      </c>
      <c r="B541" s="3" t="str">
        <f>"2編 全"</f>
        <v>2編 全</v>
      </c>
      <c r="C541" s="3" t="str">
        <f>"吾妻志らべ / 十方舎のあるじ一丸 ; 2編 全.--  吉野屋堪兵衛."</f>
        <v>吾妻志らべ / 十方舎のあるじ一丸 ; 2編 全.--  吉野屋堪兵衛.</v>
      </c>
    </row>
    <row r="542" spans="1:3" ht="11.25">
      <c r="A542" s="3" t="str">
        <f>"768/5//MASAOKA"</f>
        <v>768/5//MASAOKA</v>
      </c>
      <c r="B542" s="3">
        <f>""</f>
      </c>
      <c r="C542" s="3" t="str">
        <f>"清元直伝本 / 松井由捕,松井幸三,福森喜宇助[ほか4名].-- 再版.-- 加藤忠兵衛; 明治9(1876)年."</f>
        <v>清元直伝本 / 松井由捕,松井幸三,福森喜宇助[ほか4名].-- 再版.-- 加藤忠兵衛; 明治9(1876)年.</v>
      </c>
    </row>
    <row r="543" spans="1:3" ht="11.25">
      <c r="A543" s="3" t="str">
        <f>"768/6//MASAOKA"</f>
        <v>768/6//MASAOKA</v>
      </c>
      <c r="B543" s="3">
        <f>""</f>
      </c>
      <c r="C543" s="3" t="str">
        <f>"常磐津稽古本 / [岸沢古式部].-- さか川平四郎; [文久1(1861)年成立]."</f>
        <v>常磐津稽古本 / [岸沢古式部].-- さか川平四郎; [文久1(1861)年成立].</v>
      </c>
    </row>
    <row r="544" spans="1:3" ht="11.25">
      <c r="A544" s="3" t="str">
        <f>"768/7//MASAOKA"</f>
        <v>768/7//MASAOKA</v>
      </c>
      <c r="B544" s="3">
        <f>""</f>
      </c>
      <c r="C544" s="3" t="str">
        <f>"錦着恋山守.色盃紅葉顔.祇園守護花須巾[ほか3編] / 福森久助,増山金八,河竹文政[ほか].-- [出版者不明]; [出版年不明]."</f>
        <v>錦着恋山守.色盃紅葉顔.祇園守護花須巾[ほか3編] / 福森久助,増山金八,河竹文政[ほか].-- [出版者不明]; [出版年不明].</v>
      </c>
    </row>
    <row r="545" spans="1:3" ht="11.25">
      <c r="A545" s="3" t="str">
        <f>"768/8//MASAOKA"</f>
        <v>768/8//MASAOKA</v>
      </c>
      <c r="B545" s="3" t="str">
        <f>"全"</f>
        <v>全</v>
      </c>
      <c r="C545" s="3" t="str">
        <f>"東都芸苑女義太夫名花評判記 / 芳洲情史編著 ; 全.-- 東京堂; 明治24(1891)年."</f>
        <v>東都芸苑女義太夫名花評判記 / 芳洲情史編著 ; 全.-- 東京堂; 明治24(1891)年.</v>
      </c>
    </row>
    <row r="546" spans="1:3" ht="11.25">
      <c r="A546" s="3" t="str">
        <f>"768/9//MASAOKA"</f>
        <v>768/9//MASAOKA</v>
      </c>
      <c r="B546" s="3">
        <f>""</f>
      </c>
      <c r="C546" s="3" t="str">
        <f>"清元名曲梅の春通解 / 風来山人著 河原英吉編.-- 法水徳兵衛; 明治16(1883)年."</f>
        <v>清元名曲梅の春通解 / 風来山人著 河原英吉編.-- 法水徳兵衛; 明治16(1883)年.</v>
      </c>
    </row>
    <row r="547" spans="1:3" ht="11.25">
      <c r="A547" s="3" t="str">
        <f>"768/10//MASAOKA"</f>
        <v>768/10//MASAOKA</v>
      </c>
      <c r="B547" s="3" t="str">
        <f>"完"</f>
        <v>完</v>
      </c>
      <c r="C547" s="3" t="str">
        <f>"いろは引端唄大全 / 井上勝五郎 ; 完.-- 井上勝五郎; 明治18(1885)年11月."</f>
        <v>いろは引端唄大全 / 井上勝五郎 ; 完.-- 井上勝五郎; 明治18(1885)年11月.</v>
      </c>
    </row>
    <row r="548" spans="1:3" ht="11.25">
      <c r="A548" s="3" t="str">
        <f>"768/11//MASAOKA"</f>
        <v>768/11//MASAOKA</v>
      </c>
      <c r="B548" s="3">
        <f>""</f>
      </c>
      <c r="C548" s="3" t="str">
        <f>"小唄糸の調 / [著者不明] ; 初編.-- [出版者不明]; [出版年不明]."</f>
        <v>小唄糸の調 / [著者不明] ; 初編.-- [出版者不明]; [出版年不明].</v>
      </c>
    </row>
    <row r="549" spans="1:3" ht="11.25">
      <c r="A549" s="3" t="str">
        <f>"768/12//MASAOKA"</f>
        <v>768/12//MASAOKA</v>
      </c>
      <c r="B549" s="3" t="str">
        <f>"6編"</f>
        <v>6編</v>
      </c>
      <c r="C549" s="3" t="str">
        <f>"吾妻の花 / [著者不明] ; 6編.-- 富士政七; [出版年不明]."</f>
        <v>吾妻の花 / [著者不明] ; 6編.-- 富士政七; [出版年不明].</v>
      </c>
    </row>
    <row r="550" spans="1:3" ht="11.25">
      <c r="A550" s="3" t="str">
        <f>"768/13//MASAOKA"</f>
        <v>768/13//MASAOKA</v>
      </c>
      <c r="B550" s="3">
        <f>""</f>
      </c>
      <c r="C550" s="3" t="str">
        <f>"妙猫はうた集 : 諸芸種本の内 : 明治新板 / 吉野藤吉編.-- 正文堂; 明治21(1888)年."</f>
        <v>妙猫はうた集 : 諸芸種本の内 : 明治新板 / 吉野藤吉編.-- 正文堂; 明治21(1888)年.</v>
      </c>
    </row>
    <row r="551" spans="1:3" ht="11.25">
      <c r="A551" s="3" t="str">
        <f>"768/14//MASAOKA"</f>
        <v>768/14//MASAOKA</v>
      </c>
      <c r="B551" s="3">
        <f>""</f>
      </c>
      <c r="C551" s="3" t="str">
        <f>"長唄初子日.附 遊奇解 / [二世劇神仙作].-- 伏見屋善六; 明治2(1869)年1月再刻."</f>
        <v>長唄初子日.附 遊奇解 / [二世劇神仙作].-- 伏見屋善六; 明治2(1869)年1月再刻.</v>
      </c>
    </row>
    <row r="552" spans="1:3" ht="11.25">
      <c r="A552" s="3" t="str">
        <f>"768/15//MASAOKA"</f>
        <v>768/15//MASAOKA</v>
      </c>
      <c r="B552" s="3">
        <f>""</f>
      </c>
      <c r="C552" s="3" t="str">
        <f>"長唄志津はた帯 / 杵屋三郎介述.-- 丸屋鉄治郎; [出版年不明]."</f>
        <v>長唄志津はた帯 / 杵屋三郎介述.-- 丸屋鉄治郎; [出版年不明].</v>
      </c>
    </row>
    <row r="553" spans="1:3" ht="11.25">
      <c r="A553" s="3" t="str">
        <f>"768/16//MASAOKA"</f>
        <v>768/16//MASAOKA</v>
      </c>
      <c r="B553" s="3">
        <f>""</f>
      </c>
      <c r="C553" s="3" t="str">
        <f>"長唄秋色種.附 千歳松 / 杵屋六左衛門作.-- 丸屋鉄治郎; [出版年不明]."</f>
        <v>長唄秋色種.附 千歳松 / 杵屋六左衛門作.-- 丸屋鉄治郎; [出版年不明].</v>
      </c>
    </row>
    <row r="554" spans="1:3" ht="11.25">
      <c r="A554" s="3" t="str">
        <f>"768/17//MASAOKA"</f>
        <v>768/17//MASAOKA</v>
      </c>
      <c r="B554" s="3">
        <f>""</f>
      </c>
      <c r="C554" s="3" t="str">
        <f>"風流船揃 / 織月亭述.-- 濱田吉五郎; 明治18(1885)年."</f>
        <v>風流船揃 / 織月亭述.-- 濱田吉五郎; 明治18(1885)年.</v>
      </c>
    </row>
    <row r="555" spans="1:3" ht="11.25">
      <c r="A555" s="3" t="str">
        <f>"768/18//MASAOKA"</f>
        <v>768/18//MASAOKA</v>
      </c>
      <c r="B555" s="3">
        <f>""</f>
      </c>
      <c r="C555" s="3" t="str">
        <f>"傾城 . 越後獅子 / 杵屋六左衛門述.-- 丸屋鉄治郎; [出版年不明]."</f>
        <v>傾城 . 越後獅子 / 杵屋六左衛門述.-- 丸屋鉄治郎; [出版年不明].</v>
      </c>
    </row>
    <row r="556" spans="1:3" ht="11.25">
      <c r="A556" s="3" t="str">
        <f>"768/19//MASAOKA"</f>
        <v>768/19//MASAOKA</v>
      </c>
      <c r="B556" s="3">
        <f>""</f>
      </c>
      <c r="C556" s="3" t="str">
        <f>"長唄巽八景.附 百夜車 / 立川焉馬述.-- 丸屋鉄治郎; 明治1(1868)年9月."</f>
        <v>長唄巽八景.附 百夜車 / 立川焉馬述.-- 丸屋鉄治郎; 明治1(1868)年9月.</v>
      </c>
    </row>
    <row r="557" spans="1:3" ht="11.25">
      <c r="A557" s="3" t="str">
        <f>"768/20//MASAOKA"</f>
        <v>768/20//MASAOKA</v>
      </c>
      <c r="B557" s="3">
        <f>""</f>
      </c>
      <c r="C557" s="3" t="str">
        <f>"長唄初しぐれ.附 小鍛冶 / [著者不明].-- 丸屋鉄治郎; 嘉永5(1852)年9月刊."</f>
        <v>長唄初しぐれ.附 小鍛冶 / [著者不明].-- 丸屋鉄治郎; 嘉永5(1852)年9月刊.</v>
      </c>
    </row>
    <row r="558" spans="1:3" ht="11.25">
      <c r="A558" s="3" t="str">
        <f>"768/21//MASAOKA"</f>
        <v>768/21//MASAOKA</v>
      </c>
      <c r="B558" s="3">
        <f>""</f>
      </c>
      <c r="C558" s="3" t="str">
        <f>"雛鶴三番叟 : 長唄けいこ本 / [著者不明].-- 再版.-- 丸屋鉄治郎; 明治17(1884)年."</f>
        <v>雛鶴三番叟 : 長唄けいこ本 / [著者不明].-- 再版.-- 丸屋鉄治郎; 明治17(1884)年.</v>
      </c>
    </row>
    <row r="559" spans="1:3" ht="11.25">
      <c r="A559" s="3" t="str">
        <f>"768/22//MASAOKA"</f>
        <v>768/22//MASAOKA</v>
      </c>
      <c r="B559" s="3">
        <f>""</f>
      </c>
      <c r="C559" s="3" t="str">
        <f>"めりやす . 明のかね . 五大力 . たか尾 . くろかみ / [著者不明].-- 再版.-- 丸屋鉄治郎; 慶応3(1867)年春刊."</f>
        <v>めりやす . 明のかね . 五大力 . たか尾 . くろかみ / [著者不明].-- 再版.-- 丸屋鉄治郎; 慶応3(1867)年春刊.</v>
      </c>
    </row>
    <row r="560" spans="1:3" ht="11.25">
      <c r="A560" s="3" t="str">
        <f>"768/23//MASAOKA"</f>
        <v>768/23//MASAOKA</v>
      </c>
      <c r="B560" s="3">
        <f>""</f>
      </c>
      <c r="C560" s="3" t="str">
        <f>"猿 / 杵屋三郎助述.-- 丸屋鉄治郎; 文政7(1824)年7月刊."</f>
        <v>猿 / 杵屋三郎助述.-- 丸屋鉄治郎; 文政7(1824)年7月刊.</v>
      </c>
    </row>
    <row r="561" spans="1:3" ht="11.25">
      <c r="A561" s="3" t="str">
        <f>"768/24//MASAOKA"</f>
        <v>768/24//MASAOKA</v>
      </c>
      <c r="B561" s="3">
        <f>""</f>
      </c>
      <c r="C561" s="3" t="str">
        <f>"吾嬬箏宇多 / 山田検校斗養一.-- 改版.-- 重元平八; 天保10(1839)年8月刊."</f>
        <v>吾嬬箏宇多 / 山田検校斗養一.-- 改版.-- 重元平八; 天保10(1839)年8月刊.</v>
      </c>
    </row>
    <row r="562" spans="1:3" ht="11.25">
      <c r="A562" s="3" t="str">
        <f>"768/25//MASAOKA"</f>
        <v>768/25//MASAOKA</v>
      </c>
      <c r="B562" s="3">
        <f>""</f>
      </c>
      <c r="C562" s="3" t="str">
        <f>"神楽諷雲井曲毬 / 桜田治助述.-- さか川平四郎; [出版年不明]."</f>
        <v>神楽諷雲井曲毬 / 桜田治助述.-- さか川平四郎; [出版年不明].</v>
      </c>
    </row>
    <row r="563" spans="1:3" ht="11.25">
      <c r="A563" s="3" t="str">
        <f>"768/26//MASAOKA"</f>
        <v>768/26//MASAOKA</v>
      </c>
      <c r="B563" s="3">
        <f>""</f>
      </c>
      <c r="C563" s="3" t="str">
        <f>"恩愛[ヒトメ]関守 / 奈河本助述.-- さか川平四郎; [出版年不明]."</f>
        <v>恩愛[ヒトメ]関守 / 奈河本助述.-- さか川平四郎; [出版年不明].</v>
      </c>
    </row>
    <row r="564" spans="1:3" ht="11.25">
      <c r="A564" s="3" t="str">
        <f>"768/27/1/MASAOKA"</f>
        <v>768/27/1/MASAOKA</v>
      </c>
      <c r="B564" s="3" t="str">
        <f>"上"</f>
        <v>上</v>
      </c>
      <c r="C564" s="3" t="str">
        <f>"心中浮名の鮫鞘 / (四世)中村重助述 ; 上・下, 上, 下.-- 坂川平四郎; [出版年不明]."</f>
        <v>心中浮名の鮫鞘 / (四世)中村重助述 ; 上・下, 上, 下.-- 坂川平四郎; [出版年不明].</v>
      </c>
    </row>
    <row r="565" spans="1:3" ht="11.25">
      <c r="A565" s="3" t="str">
        <f>"768/27/2/MASAOKA"</f>
        <v>768/27/2/MASAOKA</v>
      </c>
      <c r="B565" s="3" t="str">
        <f>"下"</f>
        <v>下</v>
      </c>
      <c r="C565" s="3" t="str">
        <f>"心中浮名の鮫鞘 / (四世)中村重助述 ; 上・下, 上, 下.-- 坂川平四郎; [出版年不明]."</f>
        <v>心中浮名の鮫鞘 / (四世)中村重助述 ; 上・下, 上, 下.-- 坂川平四郎; [出版年不明].</v>
      </c>
    </row>
    <row r="566" spans="1:3" ht="11.25">
      <c r="A566" s="3" t="str">
        <f>"768/28/1/MASAOKA"</f>
        <v>768/28/1/MASAOKA</v>
      </c>
      <c r="B566" s="3" t="str">
        <f>"上"</f>
        <v>上</v>
      </c>
      <c r="C566" s="3" t="str">
        <f>"著読本ハ曲亭馬琴浄瑠璃ハ立川焉馬八犬義士誉勇猛 / [二世立川焉馬作] ; 上.-- 坂川平四郎; [出版年不明]."</f>
        <v>著読本ハ曲亭馬琴浄瑠璃ハ立川焉馬八犬義士誉勇猛 / [二世立川焉馬作] ; 上.-- 坂川平四郎; [出版年不明].</v>
      </c>
    </row>
    <row r="567" spans="1:3" ht="11.25">
      <c r="A567" s="3" t="str">
        <f>"768/29//MASAOKA"</f>
        <v>768/29//MASAOKA</v>
      </c>
      <c r="B567" s="3" t="str">
        <f>"下"</f>
        <v>下</v>
      </c>
      <c r="C567" s="3" t="str">
        <f>"日月星昼夜織分 / [二世河竹新七作] ; 下.-- 伊勢屋忠兵衛; 明治9(1876)年5月."</f>
        <v>日月星昼夜織分 / [二世河竹新七作] ; 下.-- 伊勢屋忠兵衛; 明治9(1876)年5月.</v>
      </c>
    </row>
    <row r="568" spans="1:3" ht="11.25">
      <c r="A568" s="3" t="str">
        <f>"768/30//MASAOKA"</f>
        <v>768/30//MASAOKA</v>
      </c>
      <c r="B568" s="3" t="str">
        <f>"下"</f>
        <v>下</v>
      </c>
      <c r="C568" s="3" t="str">
        <f>"隅田堤恋裔 / [著者不明] ; 下.-- 山本平吉; [出版年不明]."</f>
        <v>隅田堤恋裔 / [著者不明] ; 下.-- 山本平吉; [出版年不明].</v>
      </c>
    </row>
    <row r="569" spans="1:3" ht="11.25">
      <c r="A569" s="3" t="str">
        <f>"768/31//MASAOKA"</f>
        <v>768/31//MASAOKA</v>
      </c>
      <c r="B569" s="3">
        <f>""</f>
      </c>
      <c r="C569" s="3" t="str">
        <f>"江の嶋.附 織殿 / [著者不明].-- 丸屋鉄治郎; [出版年不明]."</f>
        <v>江の嶋.附 織殿 / [著者不明].-- 丸屋鉄治郎; [出版年不明].</v>
      </c>
    </row>
    <row r="570" spans="1:3" ht="11.25">
      <c r="A570" s="3" t="str">
        <f>"768/32//MASAOKA"</f>
        <v>768/32//MASAOKA</v>
      </c>
      <c r="B570" s="3">
        <f>""</f>
      </c>
      <c r="C570" s="3" t="str">
        <f>"六歌仙容彩 / [福森久助二世,松本幸二].-- 丸屋鉄治郎; [出版年不明]."</f>
        <v>六歌仙容彩 / [福森久助二世,松本幸二].-- 丸屋鉄治郎; [出版年不明].</v>
      </c>
    </row>
    <row r="571" spans="1:3" ht="11.25">
      <c r="A571" s="3" t="str">
        <f>"768/33//MASAOKA"</f>
        <v>768/33//MASAOKA</v>
      </c>
      <c r="B571" s="3">
        <f>""</f>
      </c>
      <c r="C571" s="3" t="str">
        <f>"吾妻八けい / 杵屋六三郎述.-- 伏見屋善六; 文政12(1829)年9月刊."</f>
        <v>吾妻八けい / 杵屋六三郎述.-- 伏見屋善六; 文政12(1829)年9月刊.</v>
      </c>
    </row>
    <row r="572" spans="1:3" ht="11.25">
      <c r="A572" s="3" t="str">
        <f>"768/34//MASAOKA"</f>
        <v>768/34//MASAOKA</v>
      </c>
      <c r="B572" s="3">
        <f>""</f>
      </c>
      <c r="C572" s="3" t="str">
        <f>"助六 . かげ清 / [著者不明].-- 丸屋鉄治郎; [出版年不明]."</f>
        <v>助六 . かげ清 / [著者不明].-- 丸屋鉄治郎; [出版年不明].</v>
      </c>
    </row>
    <row r="573" spans="1:3" ht="11.25">
      <c r="A573" s="3" t="str">
        <f>"772.1/1//MASAOKA"</f>
        <v>772.1/1//MASAOKA</v>
      </c>
      <c r="B573" s="3">
        <f>""</f>
      </c>
      <c r="C573" s="3" t="str">
        <f>"演劇史 / 谷口政徳 ; 全.-- 福地復一; 明治20(1887)年3月."</f>
        <v>演劇史 / 谷口政徳 ; 全.-- 福地復一; 明治20(1887)年3月.</v>
      </c>
    </row>
    <row r="574" spans="1:3" ht="11.25">
      <c r="A574" s="3" t="str">
        <f>"772.1/2//MASAOKA"</f>
        <v>772.1/2//MASAOKA</v>
      </c>
      <c r="B574" s="3">
        <f>""</f>
      </c>
      <c r="C574" s="3" t="str">
        <f>"諸芸人名録 / 西村隼太郎編 ; 全.-- 須原屋茂兵衛[ほか6軒]; 明治8(1875)年10月."</f>
        <v>諸芸人名録 / 西村隼太郎編 ; 全.-- 須原屋茂兵衛[ほか6軒]; 明治8(1875)年10月.</v>
      </c>
    </row>
    <row r="575" spans="1:3" ht="11.25">
      <c r="A575" s="3" t="str">
        <f>"772.1/5/27/MASAOKA"</f>
        <v>772.1/5/27/MASAOKA</v>
      </c>
      <c r="B575" s="3" t="str">
        <f>"第27号"</f>
        <v>第27号</v>
      </c>
      <c r="C575" s="3" t="str">
        <f>"影芝居 / 井上吉次郎編 ; 第27,34,36号 - 第36号.-- 庭花堂; 明治21(1888)年10月."</f>
        <v>影芝居 / 井上吉次郎編 ; 第27,34,36号 - 第36号.-- 庭花堂; 明治21(1888)年10月.</v>
      </c>
    </row>
    <row r="576" spans="1:3" ht="11.25">
      <c r="A576" s="3" t="str">
        <f>"772.1/5/34/MASAOKA"</f>
        <v>772.1/5/34/MASAOKA</v>
      </c>
      <c r="B576" s="3" t="str">
        <f>"第34号"</f>
        <v>第34号</v>
      </c>
      <c r="C576" s="3" t="str">
        <f>"影芝居 / 井上吉次郎編 ; 第27,34,36号 - 第36号.-- 庭花堂; 明治21(1888)年10月."</f>
        <v>影芝居 / 井上吉次郎編 ; 第27,34,36号 - 第36号.-- 庭花堂; 明治21(1888)年10月.</v>
      </c>
    </row>
    <row r="577" spans="1:3" ht="11.25">
      <c r="A577" s="3" t="str">
        <f>"772.1/5/36/MASAOKA"</f>
        <v>772.1/5/36/MASAOKA</v>
      </c>
      <c r="B577" s="3" t="str">
        <f>"第36号"</f>
        <v>第36号</v>
      </c>
      <c r="C577" s="3" t="str">
        <f>"影芝居 / 井上吉次郎編 ; 第27,34,36号 - 第36号.-- 庭花堂; 明治21(1888)年10月."</f>
        <v>影芝居 / 井上吉次郎編 ; 第27,34,36号 - 第36号.-- 庭花堂; 明治21(1888)年10月.</v>
      </c>
    </row>
    <row r="578" spans="1:3" ht="11.25">
      <c r="A578" s="3" t="str">
        <f>"774/1//MASAOKA"</f>
        <v>774/1//MASAOKA</v>
      </c>
      <c r="B578" s="3">
        <f>""</f>
      </c>
      <c r="C578" s="3" t="str">
        <f>"歌舞伎新報 / 伊藤長三郎編 ; 391-400号.-- 歌舞伎新報社; 明治17(1884)年3-4月."</f>
        <v>歌舞伎新報 / 伊藤長三郎編 ; 391-400号.-- 歌舞伎新報社; 明治17(1884)年3-4月.</v>
      </c>
    </row>
    <row r="579" spans="1:3" ht="11.25">
      <c r="A579" s="3" t="str">
        <f>"774/1/a/MASAOKA"</f>
        <v>774/1/a/MASAOKA</v>
      </c>
      <c r="B579" s="3">
        <f>""</f>
      </c>
      <c r="C579" s="3" t="str">
        <f>"歌舞伎新報 / 富岡卯平編 ; 951号.-- 歌舞伎新報社; 明治21(1888)年11月."</f>
        <v>歌舞伎新報 / 富岡卯平編 ; 951号.-- 歌舞伎新報社; 明治21(1888)年11月.</v>
      </c>
    </row>
    <row r="580" spans="1:3" ht="11.25">
      <c r="A580" s="3" t="str">
        <f>"774/2/1/MASAOKA"</f>
        <v>774/2/1/MASAOKA</v>
      </c>
      <c r="B580" s="3" t="str">
        <f>"初編"</f>
        <v>初編</v>
      </c>
      <c r="C580" s="3" t="str">
        <f>"花江都歌舞妓年代記 / 談洲楼焉馬撰 ; 初編-2編, 初編, 2編.-- 文昇堂; [文化8(1811)-12(1815)年刊]."</f>
        <v>花江都歌舞妓年代記 / 談洲楼焉馬撰 ; 初編-2編, 初編, 2編.-- 文昇堂; [文化8(1811)-12(1815)年刊].</v>
      </c>
    </row>
    <row r="581" spans="1:3" ht="11.25">
      <c r="A581" s="3" t="str">
        <f>"774/2/2/MASAOKA"</f>
        <v>774/2/2/MASAOKA</v>
      </c>
      <c r="B581" s="3" t="str">
        <f>"2編"</f>
        <v>2編</v>
      </c>
      <c r="C581" s="3" t="str">
        <f>"花江都歌舞妓年代記 / 談洲楼焉馬撰 ; 初編-2編, 初編, 2編.-- 文昇堂; [文化8(1811)-12(1815)年刊]."</f>
        <v>花江都歌舞妓年代記 / 談洲楼焉馬撰 ; 初編-2編, 初編, 2編.-- 文昇堂; [文化8(1811)-12(1815)年刊].</v>
      </c>
    </row>
    <row r="582" spans="1:3" ht="11.25">
      <c r="A582" s="3" t="str">
        <f>"774/3/1/MASAOKA"</f>
        <v>774/3/1/MASAOKA</v>
      </c>
      <c r="B582" s="3" t="str">
        <f>"[1]"</f>
        <v>[1]</v>
      </c>
      <c r="C582" s="3" t="str">
        <f>"芝居細見三葉草 : 市村座 / 立川焉馬著 ; [1-2], [1], [2].-- 錦森堂,錦耕堂; 天保7(1836)年自序."</f>
        <v>芝居細見三葉草 : 市村座 / 立川焉馬著 ; [1-2], [1], [2].-- 錦森堂,錦耕堂; 天保7(1836)年自序.</v>
      </c>
    </row>
    <row r="583" spans="1:3" ht="11.25">
      <c r="A583" s="3" t="str">
        <f>"774/3/2/MASAOKA"</f>
        <v>774/3/2/MASAOKA</v>
      </c>
      <c r="B583" s="3" t="str">
        <f>"[2]"</f>
        <v>[2]</v>
      </c>
      <c r="C583" s="3" t="str">
        <f>"芝居細見三葉草 : 市村座 / 立川焉馬著 ; [1-2], [1], [2].-- 錦森堂,錦耕堂; 天保7(1836)年自序."</f>
        <v>芝居細見三葉草 : 市村座 / 立川焉馬著 ; [1-2], [1], [2].-- 錦森堂,錦耕堂; 天保7(1836)年自序.</v>
      </c>
    </row>
    <row r="584" spans="1:3" ht="11.25">
      <c r="A584" s="3" t="str">
        <f>"774/4//MASAOKA"</f>
        <v>774/4//MASAOKA</v>
      </c>
      <c r="B584" s="3">
        <f>""</f>
      </c>
      <c r="C584" s="3" t="str">
        <f>"声色早合点 / 五柳亭徳升.-- 永寿堂(大黒屋平吉),松寿堂(西村屋与八); 天保3(1832)年1月刊."</f>
        <v>声色早合点 / 五柳亭徳升.-- 永寿堂(大黒屋平吉),松寿堂(西村屋与八); 天保3(1832)年1月刊.</v>
      </c>
    </row>
    <row r="585" spans="1:3" ht="11.25">
      <c r="A585" s="3" t="str">
        <f>"774/5//MASAOKA"</f>
        <v>774/5//MASAOKA</v>
      </c>
      <c r="B585" s="3">
        <f>""</f>
      </c>
      <c r="C585" s="3" t="str">
        <f>"芝居番付 / 桜田治助, 阿灯新也[ほか].-- 小川半助; 嘉永2(1849)年刊."</f>
        <v>芝居番付 / 桜田治助, 阿灯新也[ほか].-- 小川半助; 嘉永2(1849)年刊.</v>
      </c>
    </row>
    <row r="586" spans="1:3" ht="11.25">
      <c r="A586" s="3" t="str">
        <f>"774/6//MASAOKA"</f>
        <v>774/6//MASAOKA</v>
      </c>
      <c r="B586" s="3" t="str">
        <f>"弘化・嘉永 全"</f>
        <v>弘化・嘉永 全</v>
      </c>
      <c r="C586" s="3" t="str">
        <f>"三芝居役割 / [著者不明] ; 弘化・嘉永 全.-- [出版者不明]; [出版年不明]."</f>
        <v>三芝居役割 / [著者不明] ; 弘化・嘉永 全.-- [出版者不明]; [出版年不明].</v>
      </c>
    </row>
    <row r="587" spans="1:3" ht="11.25">
      <c r="A587" s="3" t="str">
        <f>"774/7//MASAOKA"</f>
        <v>774/7//MASAOKA</v>
      </c>
      <c r="B587" s="3" t="str">
        <f>"自慶応末至明治初"</f>
        <v>自慶応末至明治初</v>
      </c>
      <c r="C587" s="3" t="str">
        <f>"三芝居当狂言東京土産 / 一鶯斎国周[画] ; 自慶応末至明治初.-- 亀遊堂; [出版年不明]."</f>
        <v>三芝居当狂言東京土産 / 一鶯斎国周[画] ; 自慶応末至明治初.-- 亀遊堂; [出版年不明].</v>
      </c>
    </row>
    <row r="588" spans="1:3" ht="11.25">
      <c r="A588" s="3" t="str">
        <f>"774/8//MASAOKA"</f>
        <v>774/8//MASAOKA</v>
      </c>
      <c r="B588" s="3">
        <f>""</f>
      </c>
      <c r="C588" s="3" t="str">
        <f>"三芝居狂言 / [著者不明].-- 小川半助正; 嘉永1(1848)年7月刊."</f>
        <v>三芝居狂言 / [著者不明].-- 小川半助正; 嘉永1(1848)年7月刊.</v>
      </c>
    </row>
    <row r="589" spans="1:3" ht="11.25">
      <c r="A589" s="3" t="str">
        <f>"790/1//MASAOKA"</f>
        <v>790/1//MASAOKA</v>
      </c>
      <c r="B589" s="3">
        <f>""</f>
      </c>
      <c r="C589" s="3" t="str">
        <f>"知慧競争新撰考物集 / 三井新次郎.-- 金桜堂; 明治23(1890)年7月刊."</f>
        <v>知慧競争新撰考物集 / 三井新次郎.-- 金桜堂; 明治23(1890)年7月刊.</v>
      </c>
    </row>
    <row r="590" spans="1:3" ht="11.25">
      <c r="A590" s="3" t="str">
        <f>"795/1/1/MASAOKA"</f>
        <v>795/1/1/MASAOKA</v>
      </c>
      <c r="B590" s="3" t="str">
        <f>"乾"</f>
        <v>乾</v>
      </c>
      <c r="C590" s="3" t="str">
        <f>"定石囲碁新法 / 土屋秀栄(十七世本因坊) ; 乾・坤, 乾, 坤.-- 大倉書店; 明治27(1894)年6月."</f>
        <v>定石囲碁新法 / 土屋秀栄(十七世本因坊) ; 乾・坤, 乾, 坤.-- 大倉書店; 明治27(1894)年6月.</v>
      </c>
    </row>
    <row r="591" spans="1:3" ht="11.25">
      <c r="A591" s="3" t="str">
        <f>"795/1/2/MASAOKA"</f>
        <v>795/1/2/MASAOKA</v>
      </c>
      <c r="B591" s="3" t="str">
        <f>"坤"</f>
        <v>坤</v>
      </c>
      <c r="C591" s="3" t="str">
        <f>"定石囲碁新法 / 土屋秀栄(十七世本因坊) ; 乾・坤, 乾, 坤.-- 大倉書店; 明治27(1894)年6月."</f>
        <v>定石囲碁新法 / 土屋秀栄(十七世本因坊) ; 乾・坤, 乾, 坤.-- 大倉書店; 明治27(1894)年6月.</v>
      </c>
    </row>
    <row r="592" spans="1:3" ht="11.25">
      <c r="A592" s="3" t="str">
        <f>"803/1//MASAOKA"</f>
        <v>803/1//MASAOKA</v>
      </c>
      <c r="B592" s="3" t="str">
        <f>"完"</f>
        <v>完</v>
      </c>
      <c r="C592" s="3" t="str">
        <f>"図解和漢名数大全 / 上田元周編 ; 完.-- 銭屋荘兵衛,出雲寺文治郎; 享和3(1803)年7月刊再版."</f>
        <v>図解和漢名数大全 / 上田元周編 ; 完.-- 銭屋荘兵衛,出雲寺文治郎; 享和3(1803)年7月刊再版.</v>
      </c>
    </row>
    <row r="593" spans="1:3" ht="11.25">
      <c r="A593" s="3" t="str">
        <f>"803/2//MASAOKA"</f>
        <v>803/2//MASAOKA</v>
      </c>
      <c r="B593" s="3" t="str">
        <f>"完"</f>
        <v>完</v>
      </c>
      <c r="C593" s="3" t="str">
        <f>"図解和漢名数大全 / 上田元周編 ; 完.-- 出雲寺文治郎,和泉屋吉兵衛; 天保13(1842)年5月4刻."</f>
        <v>図解和漢名数大全 / 上田元周編 ; 完.-- 出雲寺文治郎,和泉屋吉兵衛; 天保13(1842)年5月4刻.</v>
      </c>
    </row>
    <row r="594" spans="1:3" ht="11.25">
      <c r="A594" s="3" t="str">
        <f>"803/3//MASAOKA"</f>
        <v>803/3//MASAOKA</v>
      </c>
      <c r="B594" s="3" t="str">
        <f>"完"</f>
        <v>完</v>
      </c>
      <c r="C594" s="3" t="str">
        <f>"図解続和漢名数大全 / [上田元周編] ; 完.-- 和泉屋吉兵衛; 弘化4(1847)年12月刊."</f>
        <v>図解続和漢名数大全 / [上田元周編] ; 完.-- 和泉屋吉兵衛; 弘化4(1847)年12月刊.</v>
      </c>
    </row>
    <row r="595" spans="1:3" ht="11.25">
      <c r="A595" s="3" t="str">
        <f>"803/4//MASAOKA"</f>
        <v>803/4//MASAOKA</v>
      </c>
      <c r="B595" s="3" t="str">
        <f>"3篇完"</f>
        <v>3篇完</v>
      </c>
      <c r="C595" s="3" t="str">
        <f>"図解和漢名数大全 / [上田元周編] ; 3篇完.-- 和泉屋吉兵衛; 嘉永2(1849)年5月刊."</f>
        <v>図解和漢名数大全 / [上田元周編] ; 3篇完.-- 和泉屋吉兵衛; 嘉永2(1849)年5月刊.</v>
      </c>
    </row>
    <row r="596" spans="1:3" ht="11.25">
      <c r="A596" s="3" t="str">
        <f>"803/5/1/MASAOKA"</f>
        <v>803/5/1/MASAOKA</v>
      </c>
      <c r="B596" s="3" t="str">
        <f>"上"</f>
        <v>上</v>
      </c>
      <c r="C596" s="3" t="str">
        <f>"字集便覧 / [著者不明] ; 上・下, 上, 下.-- [出版者不明]; 承応2(1653)年5月刊."</f>
        <v>字集便覧 / [著者不明] ; 上・下, 上, 下.-- [出版者不明]; 承応2(1653)年5月刊.</v>
      </c>
    </row>
    <row r="597" spans="1:3" ht="11.25">
      <c r="A597" s="3" t="str">
        <f>"803/5/2/MASAOKA"</f>
        <v>803/5/2/MASAOKA</v>
      </c>
      <c r="B597" s="3" t="str">
        <f>"下"</f>
        <v>下</v>
      </c>
      <c r="C597" s="3" t="str">
        <f>"字集便覧 / [著者不明] ; 上・下, 上, 下.-- [出版者不明]; 承応2(1653)年5月刊."</f>
        <v>字集便覧 / [著者不明] ; 上・下, 上, 下.-- [出版者不明]; 承応2(1653)年5月刊.</v>
      </c>
    </row>
    <row r="598" spans="1:3" ht="11.25">
      <c r="A598" s="3" t="str">
        <f>"810.1/1//MASAOKA"</f>
        <v>810.1/1//MASAOKA</v>
      </c>
      <c r="B598" s="3" t="str">
        <f>"全"</f>
        <v>全</v>
      </c>
      <c r="C598" s="3" t="str">
        <f>"日本語学新論 / 佐藤寛編 ; 全.-- 文明館; 明治24(1891)年6月."</f>
        <v>日本語学新論 / 佐藤寛編 ; 全.-- 文明館; 明治24(1891)年6月.</v>
      </c>
    </row>
    <row r="599" spans="1:3" ht="11.25">
      <c r="A599" s="3" t="str">
        <f>"811/1//MASAOKA"</f>
        <v>811/1//MASAOKA</v>
      </c>
      <c r="B599" s="3">
        <f>""</f>
      </c>
      <c r="C599" s="3" t="str">
        <f>"新編仮名遣 / 落合直文.-- 明治書院,吉岡書店; 明治31(1898)年7月."</f>
        <v>新編仮名遣 / 落合直文.-- 明治書院,吉岡書店; 明治31(1898)年7月.</v>
      </c>
    </row>
    <row r="600" spans="1:3" ht="11.25">
      <c r="A600" s="3" t="str">
        <f>"813/1//MASAOKA"</f>
        <v>813/1//MASAOKA</v>
      </c>
      <c r="B600" s="3">
        <f>""</f>
      </c>
      <c r="C600" s="3" t="str">
        <f>"画引小説字彙 / [秋水園主人編].-- 称?堂,賭春堂,崇高堂; 寛政3(1791)年11月刊."</f>
        <v>画引小説字彙 / [秋水園主人編].-- 称?堂,賭春堂,崇高堂; 寛政3(1791)年11月刊.</v>
      </c>
    </row>
    <row r="601" spans="1:3" ht="11.25">
      <c r="A601" s="3" t="str">
        <f>"813/2//MASAOKA"</f>
        <v>813/2//MASAOKA</v>
      </c>
      <c r="B601" s="3" t="str">
        <f>"全"</f>
        <v>全</v>
      </c>
      <c r="C601" s="3" t="str">
        <f>"操觚便覧 / 藤井乙男編 ; 全.-- 明昇堂(浜本伊三郎); 明治32(1899)年12月."</f>
        <v>操觚便覧 / 藤井乙男編 ; 全.-- 明昇堂(浜本伊三郎); 明治32(1899)年12月.</v>
      </c>
    </row>
    <row r="602" spans="1:3" ht="11.25">
      <c r="A602" s="3" t="str">
        <f>"813/3//MASAOKA"</f>
        <v>813/3//MASAOKA</v>
      </c>
      <c r="B602" s="3">
        <f>""</f>
      </c>
      <c r="C602" s="3" t="str">
        <f>"古言梯 : 再考 / [楫取魚彦].-- 河内屋源七郎; 文政3(1820)年12月刊."</f>
        <v>古言梯 : 再考 / [楫取魚彦].-- 河内屋源七郎; 文政3(1820)年12月刊.</v>
      </c>
    </row>
    <row r="603" spans="1:3" ht="11.25">
      <c r="A603" s="3" t="str">
        <f>"813/4//MASAOKA"</f>
        <v>813/4//MASAOKA</v>
      </c>
      <c r="B603" s="3" t="str">
        <f>"全"</f>
        <v>全</v>
      </c>
      <c r="C603" s="3" t="str">
        <f>"早引文字通 / 松亭金水撰 ; 全.-- 錦森堂; 弘化4(1847)年5月刊."</f>
        <v>早引文字通 / 松亭金水撰 ; 全.-- 錦森堂; 弘化4(1847)年5月刊.</v>
      </c>
    </row>
    <row r="604" spans="1:3" ht="11.25">
      <c r="A604" s="3" t="str">
        <f>"813/5/1/MASAOKA"</f>
        <v>813/5/1/MASAOKA</v>
      </c>
      <c r="B604" s="3" t="str">
        <f>"1巻"</f>
        <v>1巻</v>
      </c>
      <c r="C604" s="3" t="str">
        <f>"候鯖一臠 / 亀田文左衛門(鵬斎) ; 1-5巻 - 5巻.-- 山城屋; 天保13(1842)年刊."</f>
        <v>候鯖一臠 / 亀田文左衛門(鵬斎) ; 1-5巻 - 5巻.-- 山城屋; 天保13(1842)年刊.</v>
      </c>
    </row>
    <row r="605" spans="1:3" ht="11.25">
      <c r="A605" s="3" t="str">
        <f>"813/5/2/MASAOKA"</f>
        <v>813/5/2/MASAOKA</v>
      </c>
      <c r="B605" s="3" t="str">
        <f>"2巻"</f>
        <v>2巻</v>
      </c>
      <c r="C605" s="3" t="str">
        <f>"候鯖一臠 / 亀田文左衛門(鵬斎) ; 1-5巻 - 5巻.-- 山城屋; 天保13(1842)年刊."</f>
        <v>候鯖一臠 / 亀田文左衛門(鵬斎) ; 1-5巻 - 5巻.-- 山城屋; 天保13(1842)年刊.</v>
      </c>
    </row>
    <row r="606" spans="1:3" ht="11.25">
      <c r="A606" s="3" t="str">
        <f>"813/5/3/MASAOKA"</f>
        <v>813/5/3/MASAOKA</v>
      </c>
      <c r="B606" s="3" t="str">
        <f>"3巻"</f>
        <v>3巻</v>
      </c>
      <c r="C606" s="3" t="str">
        <f>"候鯖一臠 / 亀田文左衛門(鵬斎) ; 1-5巻 - 5巻.-- 山城屋; 天保13(1842)年刊."</f>
        <v>候鯖一臠 / 亀田文左衛門(鵬斎) ; 1-5巻 - 5巻.-- 山城屋; 天保13(1842)年刊.</v>
      </c>
    </row>
    <row r="607" spans="1:3" ht="11.25">
      <c r="A607" s="3" t="str">
        <f>"813/5/4/MASAOKA"</f>
        <v>813/5/4/MASAOKA</v>
      </c>
      <c r="B607" s="3" t="str">
        <f>"4巻"</f>
        <v>4巻</v>
      </c>
      <c r="C607" s="3" t="str">
        <f>"候鯖一臠 / 亀田文左衛門(鵬斎) ; 1-5巻 - 5巻.-- 山城屋; 天保13(1842)年刊."</f>
        <v>候鯖一臠 / 亀田文左衛門(鵬斎) ; 1-5巻 - 5巻.-- 山城屋; 天保13(1842)年刊.</v>
      </c>
    </row>
    <row r="608" spans="1:3" ht="11.25">
      <c r="A608" s="3" t="str">
        <f>"813/5/5/MASAOKA"</f>
        <v>813/5/5/MASAOKA</v>
      </c>
      <c r="B608" s="3" t="str">
        <f>"5巻"</f>
        <v>5巻</v>
      </c>
      <c r="C608" s="3" t="str">
        <f>"候鯖一臠 / 亀田文左衛門(鵬斎) ; 1-5巻 - 5巻.-- 山城屋; 天保13(1842)年刊."</f>
        <v>候鯖一臠 / 亀田文左衛門(鵬斎) ; 1-5巻 - 5巻.-- 山城屋; 天保13(1842)年刊.</v>
      </c>
    </row>
    <row r="609" spans="1:3" ht="11.25">
      <c r="A609" s="3" t="str">
        <f>"813/6/1/MASAOKA"</f>
        <v>813/6/1/MASAOKA</v>
      </c>
      <c r="B609" s="3" t="str">
        <f>"上"</f>
        <v>上</v>
      </c>
      <c r="C609" s="3" t="str">
        <f>"雑事類編 / 柴野栗山 ; 上・下, 上, 下.-- 植村藤右衛門; 天明6(1786)年6月刊."</f>
        <v>雑事類編 / 柴野栗山 ; 上・下, 上, 下.-- 植村藤右衛門; 天明6(1786)年6月刊.</v>
      </c>
    </row>
    <row r="610" spans="1:3" ht="11.25">
      <c r="A610" s="3" t="str">
        <f>"813/6/2/MASAOKA"</f>
        <v>813/6/2/MASAOKA</v>
      </c>
      <c r="B610" s="3" t="str">
        <f>"下"</f>
        <v>下</v>
      </c>
      <c r="C610" s="3" t="str">
        <f>"雑事類編 / 柴野栗山 ; 上・下, 上, 下.-- 植村藤右衛門; 天明6(1786)年6月刊."</f>
        <v>雑事類編 / 柴野栗山 ; 上・下, 上, 下.-- 植村藤右衛門; 天明6(1786)年6月刊.</v>
      </c>
    </row>
    <row r="611" spans="1:3" ht="11.25">
      <c r="A611" s="3" t="str">
        <f>"813.4/1//MASAOKA"</f>
        <v>813.4/1//MASAOKA</v>
      </c>
      <c r="B611" s="3">
        <f>""</f>
      </c>
      <c r="C611" s="3" t="str">
        <f>"字林長歌 / 源堅編.-- [正岡修]; 寛政9(1797)年写."</f>
        <v>字林長歌 / 源堅編.-- [正岡修]; 寛政9(1797)年写.</v>
      </c>
    </row>
    <row r="612" spans="1:3" ht="11.25">
      <c r="A612" s="3" t="str">
        <f>"815/1//MASAOKA"</f>
        <v>815/1//MASAOKA</v>
      </c>
      <c r="B612" s="3" t="str">
        <f>"第1編"</f>
        <v>第1編</v>
      </c>
      <c r="C612" s="3" t="str">
        <f>"日本大文典 / 落合直文 ; 第1編.-- 博文館; 明治27(1894)年7月."</f>
        <v>日本大文典 / 落合直文 ; 第1編.-- 博文館; 明治27(1894)年7月.</v>
      </c>
    </row>
    <row r="613" spans="1:3" ht="11.25">
      <c r="A613" s="3" t="str">
        <f>"815/2//MASAOKA"</f>
        <v>815/2//MASAOKA</v>
      </c>
      <c r="B613" s="3" t="str">
        <f>"全"</f>
        <v>全</v>
      </c>
      <c r="C613" s="3" t="str">
        <f>"国文法詳解 / 瓜生篤忠,瓜生喬共編 ; 全.-- 吉川半七; 明治32(1899)年6月."</f>
        <v>国文法詳解 / 瓜生篤忠,瓜生喬共編 ; 全.-- 吉川半七; 明治32(1899)年6月.</v>
      </c>
    </row>
    <row r="614" spans="1:3" ht="11.25">
      <c r="A614" s="3" t="str">
        <f>"815/3//MASAOKA"</f>
        <v>815/3//MASAOKA</v>
      </c>
      <c r="B614" s="3">
        <f>""</f>
      </c>
      <c r="C614" s="3" t="str">
        <f>"てにをは教科書 / 物集高見著.-- 十一堂; 明治19(1886)年10月."</f>
        <v>てにをは教科書 / 物集高見著.-- 十一堂; 明治19(1886)年10月.</v>
      </c>
    </row>
    <row r="615" spans="1:3" ht="11.25">
      <c r="A615" s="3" t="str">
        <f>"815/4/1/MASAOKA"</f>
        <v>815/4/1/MASAOKA</v>
      </c>
      <c r="B615" s="3" t="str">
        <f>"1巻"</f>
        <v>1巻</v>
      </c>
      <c r="C615" s="3" t="str">
        <f>"新定日本文法教科書 / 松平円次郎 ; 1-5巻 - 5巻.-- 興文社; 明治35(1902)年11月."</f>
        <v>新定日本文法教科書 / 松平円次郎 ; 1-5巻 - 5巻.-- 興文社; 明治35(1902)年11月.</v>
      </c>
    </row>
    <row r="616" spans="1:3" ht="11.25">
      <c r="A616" s="3" t="str">
        <f>"815/4/2/MASAOKA"</f>
        <v>815/4/2/MASAOKA</v>
      </c>
      <c r="B616" s="3" t="str">
        <f>"2巻"</f>
        <v>2巻</v>
      </c>
      <c r="C616" s="3" t="str">
        <f>"新定日本文法教科書 / 松平円次郎 ; 1-5巻 - 5巻.-- 興文社; 明治35(1902)年11月."</f>
        <v>新定日本文法教科書 / 松平円次郎 ; 1-5巻 - 5巻.-- 興文社; 明治35(1902)年11月.</v>
      </c>
    </row>
    <row r="617" spans="1:3" ht="11.25">
      <c r="A617" s="3" t="str">
        <f>"815/4/3/MASAOKA"</f>
        <v>815/4/3/MASAOKA</v>
      </c>
      <c r="B617" s="3" t="str">
        <f>"3巻"</f>
        <v>3巻</v>
      </c>
      <c r="C617" s="3" t="str">
        <f>"新定日本文法教科書 / 松平円次郎 ; 1-5巻 - 5巻.-- 興文社; 明治35(1902)年11月."</f>
        <v>新定日本文法教科書 / 松平円次郎 ; 1-5巻 - 5巻.-- 興文社; 明治35(1902)年11月.</v>
      </c>
    </row>
    <row r="618" spans="1:3" ht="11.25">
      <c r="A618" s="3" t="str">
        <f>"815/4/4/MASAOKA"</f>
        <v>815/4/4/MASAOKA</v>
      </c>
      <c r="B618" s="3" t="str">
        <f>"4巻"</f>
        <v>4巻</v>
      </c>
      <c r="C618" s="3" t="str">
        <f>"新定日本文法教科書 / 松平円次郎 ; 1-5巻 - 5巻.-- 興文社; 明治35(1902)年11月."</f>
        <v>新定日本文法教科書 / 松平円次郎 ; 1-5巻 - 5巻.-- 興文社; 明治35(1902)年11月.</v>
      </c>
    </row>
    <row r="619" spans="1:3" ht="11.25">
      <c r="A619" s="3" t="str">
        <f>"815/4/5/MASAOKA"</f>
        <v>815/4/5/MASAOKA</v>
      </c>
      <c r="B619" s="3" t="str">
        <f>"5巻"</f>
        <v>5巻</v>
      </c>
      <c r="C619" s="3" t="str">
        <f>"新定日本文法教科書 / 松平円次郎 ; 1-5巻 - 5巻.-- 興文社; 明治35(1902)年11月."</f>
        <v>新定日本文法教科書 / 松平円次郎 ; 1-5巻 - 5巻.-- 興文社; 明治35(1902)年11月.</v>
      </c>
    </row>
    <row r="620" spans="1:3" ht="11.25">
      <c r="A620" s="3" t="str">
        <f>"815/5//MASAOKA"</f>
        <v>815/5//MASAOKA</v>
      </c>
      <c r="B620" s="3" t="str">
        <f>"完"</f>
        <v>完</v>
      </c>
      <c r="C620" s="3" t="str">
        <f>"詞の玉の緒 / 本居宣長 ; 完.-- 図書出版; 明治25(1892)年1月."</f>
        <v>詞の玉の緒 / 本居宣長 ; 完.-- 図書出版; 明治25(1892)年1月.</v>
      </c>
    </row>
    <row r="621" spans="1:3" ht="11.25">
      <c r="A621" s="3" t="str">
        <f>"820/1/1/MASAOKA"</f>
        <v>820/1/1/MASAOKA</v>
      </c>
      <c r="B621" s="3" t="str">
        <f>"1巻"</f>
        <v>1巻</v>
      </c>
      <c r="C621" s="3" t="str">
        <f aca="true" t="shared" si="15" ref="C621:C630">"四声聯珠 : 自邇集平仄編 / 福島安正編 ; 1-9,俗 語註釈 - 9巻.-- 陸軍文庫; 明治19(1886)年4月."</f>
        <v>四声聯珠 : 自邇集平仄編 / 福島安正編 ; 1-9,俗 語註釈 - 9巻.-- 陸軍文庫; 明治19(1886)年4月.</v>
      </c>
    </row>
    <row r="622" spans="1:3" ht="11.25">
      <c r="A622" s="3" t="str">
        <f>"820/1/2/MASAOKA"</f>
        <v>820/1/2/MASAOKA</v>
      </c>
      <c r="B622" s="3" t="str">
        <f>"2巻"</f>
        <v>2巻</v>
      </c>
      <c r="C622" s="3" t="str">
        <f t="shared" si="15"/>
        <v>四声聯珠 : 自邇集平仄編 / 福島安正編 ; 1-9,俗 語註釈 - 9巻.-- 陸軍文庫; 明治19(1886)年4月.</v>
      </c>
    </row>
    <row r="623" spans="1:3" ht="11.25">
      <c r="A623" s="3" t="str">
        <f>"820/1/3/MASAOKA"</f>
        <v>820/1/3/MASAOKA</v>
      </c>
      <c r="B623" s="3" t="str">
        <f>"3巻"</f>
        <v>3巻</v>
      </c>
      <c r="C623" s="3" t="str">
        <f t="shared" si="15"/>
        <v>四声聯珠 : 自邇集平仄編 / 福島安正編 ; 1-9,俗 語註釈 - 9巻.-- 陸軍文庫; 明治19(1886)年4月.</v>
      </c>
    </row>
    <row r="624" spans="1:3" ht="11.25">
      <c r="A624" s="3" t="str">
        <f>"820/1/4/MASAOKA"</f>
        <v>820/1/4/MASAOKA</v>
      </c>
      <c r="B624" s="3" t="str">
        <f>"4巻"</f>
        <v>4巻</v>
      </c>
      <c r="C624" s="3" t="str">
        <f t="shared" si="15"/>
        <v>四声聯珠 : 自邇集平仄編 / 福島安正編 ; 1-9,俗 語註釈 - 9巻.-- 陸軍文庫; 明治19(1886)年4月.</v>
      </c>
    </row>
    <row r="625" spans="1:3" ht="11.25">
      <c r="A625" s="3" t="str">
        <f>"820/1/5/MASAOKA"</f>
        <v>820/1/5/MASAOKA</v>
      </c>
      <c r="B625" s="3" t="str">
        <f>"5巻"</f>
        <v>5巻</v>
      </c>
      <c r="C625" s="3" t="str">
        <f t="shared" si="15"/>
        <v>四声聯珠 : 自邇集平仄編 / 福島安正編 ; 1-9,俗 語註釈 - 9巻.-- 陸軍文庫; 明治19(1886)年4月.</v>
      </c>
    </row>
    <row r="626" spans="1:3" ht="11.25">
      <c r="A626" s="3" t="str">
        <f>"820/1/6/MASAOKA"</f>
        <v>820/1/6/MASAOKA</v>
      </c>
      <c r="B626" s="3" t="str">
        <f>"6巻"</f>
        <v>6巻</v>
      </c>
      <c r="C626" s="3" t="str">
        <f t="shared" si="15"/>
        <v>四声聯珠 : 自邇集平仄編 / 福島安正編 ; 1-9,俗 語註釈 - 9巻.-- 陸軍文庫; 明治19(1886)年4月.</v>
      </c>
    </row>
    <row r="627" spans="1:3" ht="11.25">
      <c r="A627" s="3" t="str">
        <f>"820/1/7/MASAOKA"</f>
        <v>820/1/7/MASAOKA</v>
      </c>
      <c r="B627" s="3" t="str">
        <f>"7巻"</f>
        <v>7巻</v>
      </c>
      <c r="C627" s="3" t="str">
        <f t="shared" si="15"/>
        <v>四声聯珠 : 自邇集平仄編 / 福島安正編 ; 1-9,俗 語註釈 - 9巻.-- 陸軍文庫; 明治19(1886)年4月.</v>
      </c>
    </row>
    <row r="628" spans="1:3" ht="11.25">
      <c r="A628" s="3" t="str">
        <f>"820/1/8/MASAOKA"</f>
        <v>820/1/8/MASAOKA</v>
      </c>
      <c r="B628" s="3" t="str">
        <f>"8巻"</f>
        <v>8巻</v>
      </c>
      <c r="C628" s="3" t="str">
        <f t="shared" si="15"/>
        <v>四声聯珠 : 自邇集平仄編 / 福島安正編 ; 1-9,俗 語註釈 - 9巻.-- 陸軍文庫; 明治19(1886)年4月.</v>
      </c>
    </row>
    <row r="629" spans="1:3" ht="11.25">
      <c r="A629" s="3" t="str">
        <f>"820/1/9/MASAOKA"</f>
        <v>820/1/9/MASAOKA</v>
      </c>
      <c r="B629" s="3" t="str">
        <f>"9巻"</f>
        <v>9巻</v>
      </c>
      <c r="C629" s="3" t="str">
        <f t="shared" si="15"/>
        <v>四声聯珠 : 自邇集平仄編 / 福島安正編 ; 1-9,俗 語註釈 - 9巻.-- 陸軍文庫; 明治19(1886)年4月.</v>
      </c>
    </row>
    <row r="630" spans="1:3" ht="11.25">
      <c r="A630" s="3" t="str">
        <f>"820/1/10/MASAOKA"</f>
        <v>820/1/10/MASAOKA</v>
      </c>
      <c r="B630" s="3" t="str">
        <f>"俗語註釈"</f>
        <v>俗語註釈</v>
      </c>
      <c r="C630" s="3" t="str">
        <f t="shared" si="15"/>
        <v>四声聯珠 : 自邇集平仄編 / 福島安正編 ; 1-9,俗 語註釈 - 9巻.-- 陸軍文庫; 明治19(1886)年4月.</v>
      </c>
    </row>
    <row r="631" spans="1:3" ht="11.25">
      <c r="A631" s="3" t="str">
        <f>"820/2/1/MASAOKA"</f>
        <v>820/2/1/MASAOKA</v>
      </c>
      <c r="B631" s="3" t="str">
        <f>"乾"</f>
        <v>乾</v>
      </c>
      <c r="C631" s="3" t="str">
        <f>"訓蒙康煕字典 / 橋爪貫一編 ; 乾・坤, 乾, 坤.-- 須原鉄二; 明治13(1880)年1月."</f>
        <v>訓蒙康煕字典 / 橋爪貫一編 ; 乾・坤, 乾, 坤.-- 須原鉄二; 明治13(1880)年1月.</v>
      </c>
    </row>
    <row r="632" spans="1:3" ht="11.25">
      <c r="A632" s="3" t="str">
        <f>"820/2/2/MASAOKA"</f>
        <v>820/2/2/MASAOKA</v>
      </c>
      <c r="B632" s="3" t="str">
        <f>"坤"</f>
        <v>坤</v>
      </c>
      <c r="C632" s="3" t="str">
        <f>"訓蒙康煕字典 / 橋爪貫一編 ; 乾・坤, 乾, 坤.-- 須原鉄二; 明治13(1880)年1月."</f>
        <v>訓蒙康煕字典 / 橋爪貫一編 ; 乾・坤, 乾, 坤.-- 須原鉄二; 明治13(1880)年1月.</v>
      </c>
    </row>
    <row r="633" spans="1:3" ht="11.25">
      <c r="A633" s="3" t="str">
        <f>"821/1//MASAOKA"</f>
        <v>821/1//MASAOKA</v>
      </c>
      <c r="B633" s="3">
        <f>""</f>
      </c>
      <c r="C633" s="3" t="str">
        <f>"増補注解詩韻含英異同弁 / 谷喬編.-- 柳原喜兵衛; 明治12(1879)年7月."</f>
        <v>増補注解詩韻含英異同弁 / 谷喬編.-- 柳原喜兵衛; 明治12(1879)年7月.</v>
      </c>
    </row>
    <row r="634" spans="1:3" ht="11.25">
      <c r="A634" s="3" t="str">
        <f>"821/2/1/MASAOKA"</f>
        <v>821/2/1/MASAOKA</v>
      </c>
      <c r="B634" s="3" t="str">
        <f>"乾"</f>
        <v>乾</v>
      </c>
      <c r="C634" s="3" t="str">
        <f>"頭字韻 / 清余春亭輯 ; 乾・坤, 乾, 坤.-- 津藩有造館; 天保3(1832)年3月刊."</f>
        <v>頭字韻 / 清余春亭輯 ; 乾・坤, 乾, 坤.-- 津藩有造館; 天保3(1832)年3月刊.</v>
      </c>
    </row>
    <row r="635" spans="1:3" ht="11.25">
      <c r="A635" s="3" t="str">
        <f>"821/2/2/MASAOKA"</f>
        <v>821/2/2/MASAOKA</v>
      </c>
      <c r="B635" s="3" t="str">
        <f>"坤"</f>
        <v>坤</v>
      </c>
      <c r="C635" s="3" t="str">
        <f>"頭字韻 / 清余春亭輯 ; 乾・坤, 乾, 坤.-- 津藩有造館; 天保3(1832)年3月刊."</f>
        <v>頭字韻 / 清余春亭輯 ; 乾・坤, 乾, 坤.-- 津藩有造館; 天保3(1832)年3月刊.</v>
      </c>
    </row>
    <row r="636" spans="1:3" ht="11.25">
      <c r="A636" s="3" t="str">
        <f>"828/1/1/MASAOKA"</f>
        <v>828/1/1/MASAOKA</v>
      </c>
      <c r="B636" s="3" t="str">
        <f>"乾"</f>
        <v>乾</v>
      </c>
      <c r="C636" s="3" t="str">
        <f>"楊子方言 / 楊雄撰 郭璞注 程栄校 ; 乾・坤, 乾, 坤.-- 北田清左衛門; 元禄5(1692)年1月刊."</f>
        <v>楊子方言 / 楊雄撰 郭璞注 程栄校 ; 乾・坤, 乾, 坤.-- 北田清左衛門; 元禄5(1692)年1月刊.</v>
      </c>
    </row>
    <row r="637" spans="1:3" ht="11.25">
      <c r="A637" s="3" t="str">
        <f>"828/1/2/MASAOKA"</f>
        <v>828/1/2/MASAOKA</v>
      </c>
      <c r="B637" s="3" t="str">
        <f>"坤"</f>
        <v>坤</v>
      </c>
      <c r="C637" s="3" t="str">
        <f>"楊子方言 / 楊雄撰 郭璞注 程栄校 ; 乾・坤, 乾, 坤.-- 北田清左衛門; 元禄5(1692)年1月刊."</f>
        <v>楊子方言 / 楊雄撰 郭璞注 程栄校 ; 乾・坤, 乾, 坤.-- 北田清左衛門; 元禄5(1692)年1月刊.</v>
      </c>
    </row>
    <row r="638" spans="1:3" ht="11.25">
      <c r="A638" s="3" t="str">
        <f>"908/1//MASAOKA"</f>
        <v>908/1//MASAOKA</v>
      </c>
      <c r="B638" s="3" t="str">
        <f>"上"</f>
        <v>上</v>
      </c>
      <c r="C638" s="3" t="str">
        <f>"聖門哲学論 / 有賀長雄撰 ; 上.-- 丸善商社書店; 明治19(1886)年2月再版.-- (文学叢書 ; 第2冊)."</f>
        <v>聖門哲学論 / 有賀長雄撰 ; 上.-- 丸善商社書店; 明治19(1886)年2月再版.-- (文学叢書 ; 第2冊).</v>
      </c>
    </row>
    <row r="639" spans="1:3" ht="11.25">
      <c r="A639" s="3" t="str">
        <f>"910/1//MASAOKA"</f>
        <v>910/1//MASAOKA</v>
      </c>
      <c r="B639" s="3">
        <f>""</f>
      </c>
      <c r="C639" s="3" t="str">
        <f>"群玉?光 / 渡辺臣按編.-- [出版者不明]; [出版年不明]."</f>
        <v>群玉?光 / 渡辺臣按編.-- [出版者不明]; [出版年不明].</v>
      </c>
    </row>
    <row r="640" spans="1:3" ht="11.25">
      <c r="A640" s="3" t="str">
        <f>"910/2//MASAOKA"</f>
        <v>910/2//MASAOKA</v>
      </c>
      <c r="B640" s="3">
        <f>""</f>
      </c>
      <c r="C640" s="3" t="str">
        <f>"小説文範 / 吉田香雨編.-- 大華堂; 明治21(1888)年11月."</f>
        <v>小説文範 / 吉田香雨編.-- 大華堂; 明治21(1888)年11月.</v>
      </c>
    </row>
    <row r="641" spans="1:3" ht="11.25">
      <c r="A641" s="3" t="str">
        <f>"910.8/1/1/MASAOKA"</f>
        <v>910.8/1/1/MASAOKA</v>
      </c>
      <c r="B641" s="3" t="str">
        <f>"第1編"</f>
        <v>第1編</v>
      </c>
      <c r="C641" s="3" t="str">
        <f aca="true" t="shared" si="16" ref="C641:C647">"日本文学全書 / 野口竹次郎編 ; 第1-7編 - 第7編.-- 博文館; 明治23(1890)年."</f>
        <v>日本文学全書 / 野口竹次郎編 ; 第1-7編 - 第7編.-- 博文館; 明治23(1890)年.</v>
      </c>
    </row>
    <row r="642" spans="1:3" ht="11.25">
      <c r="A642" s="3" t="str">
        <f>"910.8/1/2/MASAOKA"</f>
        <v>910.8/1/2/MASAOKA</v>
      </c>
      <c r="B642" s="3" t="str">
        <f>"第2編"</f>
        <v>第2編</v>
      </c>
      <c r="C642" s="3" t="str">
        <f t="shared" si="16"/>
        <v>日本文学全書 / 野口竹次郎編 ; 第1-7編 - 第7編.-- 博文館; 明治23(1890)年.</v>
      </c>
    </row>
    <row r="643" spans="1:3" ht="11.25">
      <c r="A643" s="3" t="str">
        <f>"910.8/1/3/MASAOKA"</f>
        <v>910.8/1/3/MASAOKA</v>
      </c>
      <c r="B643" s="3" t="str">
        <f>"第3編"</f>
        <v>第3編</v>
      </c>
      <c r="C643" s="3" t="str">
        <f t="shared" si="16"/>
        <v>日本文学全書 / 野口竹次郎編 ; 第1-7編 - 第7編.-- 博文館; 明治23(1890)年.</v>
      </c>
    </row>
    <row r="644" spans="1:3" ht="11.25">
      <c r="A644" s="3" t="str">
        <f>"910.8/1/4/MASAOKA"</f>
        <v>910.8/1/4/MASAOKA</v>
      </c>
      <c r="B644" s="3" t="str">
        <f>"第4編"</f>
        <v>第4編</v>
      </c>
      <c r="C644" s="3" t="str">
        <f t="shared" si="16"/>
        <v>日本文学全書 / 野口竹次郎編 ; 第1-7編 - 第7編.-- 博文館; 明治23(1890)年.</v>
      </c>
    </row>
    <row r="645" spans="1:3" ht="11.25">
      <c r="A645" s="3" t="str">
        <f>"910.8/1/5/MASAOKA"</f>
        <v>910.8/1/5/MASAOKA</v>
      </c>
      <c r="B645" s="3" t="str">
        <f>"第5編"</f>
        <v>第5編</v>
      </c>
      <c r="C645" s="3" t="str">
        <f t="shared" si="16"/>
        <v>日本文学全書 / 野口竹次郎編 ; 第1-7編 - 第7編.-- 博文館; 明治23(1890)年.</v>
      </c>
    </row>
    <row r="646" spans="1:3" ht="11.25">
      <c r="A646" s="3" t="str">
        <f>"910.8/1/6/MASAOKA"</f>
        <v>910.8/1/6/MASAOKA</v>
      </c>
      <c r="B646" s="3" t="str">
        <f>"第6編"</f>
        <v>第6編</v>
      </c>
      <c r="C646" s="3" t="str">
        <f t="shared" si="16"/>
        <v>日本文学全書 / 野口竹次郎編 ; 第1-7編 - 第7編.-- 博文館; 明治23(1890)年.</v>
      </c>
    </row>
    <row r="647" spans="1:3" ht="11.25">
      <c r="A647" s="3" t="str">
        <f>"910.8/1/7/MASAOKA"</f>
        <v>910.8/1/7/MASAOKA</v>
      </c>
      <c r="B647" s="3" t="str">
        <f>"第7編"</f>
        <v>第7編</v>
      </c>
      <c r="C647" s="3" t="str">
        <f t="shared" si="16"/>
        <v>日本文学全書 / 野口竹次郎編 ; 第1-7編 - 第7編.-- 博文館; 明治23(1890)年.</v>
      </c>
    </row>
    <row r="648" spans="1:3" ht="11.25">
      <c r="A648" s="3" t="str">
        <f>"910.8/1/16/MASAOKA"</f>
        <v>910.8/1/16/MASAOKA</v>
      </c>
      <c r="B648" s="3" t="str">
        <f>"第16編"</f>
        <v>第16編</v>
      </c>
      <c r="C648" s="3" t="str">
        <f aca="true" t="shared" si="17" ref="C648:C653">"日本文学全書 / 大橋新太郎編 ; 第16-20編 - 第20編.-- 博文館; 明治24(1891)年."</f>
        <v>日本文学全書 / 大橋新太郎編 ; 第16-20編 - 第20編.-- 博文館; 明治24(1891)年.</v>
      </c>
    </row>
    <row r="649" spans="1:3" ht="11.25">
      <c r="A649" s="3" t="str">
        <f>"910.8/1/17/MASAOKA"</f>
        <v>910.8/1/17/MASAOKA</v>
      </c>
      <c r="B649" s="3" t="str">
        <f>"第17編"</f>
        <v>第17編</v>
      </c>
      <c r="C649" s="3" t="str">
        <f t="shared" si="17"/>
        <v>日本文学全書 / 大橋新太郎編 ; 第16-20編 - 第20編.-- 博文館; 明治24(1891)年.</v>
      </c>
    </row>
    <row r="650" spans="1:3" ht="11.25">
      <c r="A650" s="3" t="str">
        <f>"910.8/1/18/MASAOKA"</f>
        <v>910.8/1/18/MASAOKA</v>
      </c>
      <c r="B650" s="3" t="str">
        <f>"第18編"</f>
        <v>第18編</v>
      </c>
      <c r="C650" s="3" t="str">
        <f t="shared" si="17"/>
        <v>日本文学全書 / 大橋新太郎編 ; 第16-20編 - 第20編.-- 博文館; 明治24(1891)年.</v>
      </c>
    </row>
    <row r="651" spans="1:3" ht="11.25">
      <c r="A651" s="3" t="str">
        <f>"910.8/1/19/MASAOKA"</f>
        <v>910.8/1/19/MASAOKA</v>
      </c>
      <c r="B651" s="3" t="str">
        <f>"第19編"</f>
        <v>第19編</v>
      </c>
      <c r="C651" s="3" t="str">
        <f t="shared" si="17"/>
        <v>日本文学全書 / 大橋新太郎編 ; 第16-20編 - 第20編.-- 博文館; 明治24(1891)年.</v>
      </c>
    </row>
    <row r="652" spans="1:3" ht="11.25">
      <c r="A652" s="3" t="str">
        <f>"910.8/1/20/MASAOKA"</f>
        <v>910.8/1/20/MASAOKA</v>
      </c>
      <c r="B652" s="3" t="str">
        <f>"第20編"</f>
        <v>第20編</v>
      </c>
      <c r="C652" s="3" t="str">
        <f t="shared" si="17"/>
        <v>日本文学全書 / 大橋新太郎編 ; 第16-20編 - 第20編.-- 博文館; 明治24(1891)年.</v>
      </c>
    </row>
    <row r="653" spans="1:3" ht="11.25">
      <c r="A653" s="3" t="str">
        <f>"910.8/1/20b/MASAOKA"</f>
        <v>910.8/1/20b/MASAOKA</v>
      </c>
      <c r="B653" s="3" t="str">
        <f>"第20編"</f>
        <v>第20編</v>
      </c>
      <c r="C653" s="3" t="str">
        <f t="shared" si="17"/>
        <v>日本文学全書 / 大橋新太郎編 ; 第16-20編 - 第20編.-- 博文館; 明治24(1891)年.</v>
      </c>
    </row>
    <row r="654" spans="1:3" ht="11.25">
      <c r="A654" s="3" t="str">
        <f>"910.8/1/21/MASAOKA"</f>
        <v>910.8/1/21/MASAOKA</v>
      </c>
      <c r="B654" s="3" t="str">
        <f>"第21編"</f>
        <v>第21編</v>
      </c>
      <c r="C654" s="3" t="str">
        <f>"日本文学全書 / 大橋新太郎編 ; 第21-24編 - 第24編.-- 博文館; 明治24-25(1891-1892)年."</f>
        <v>日本文学全書 / 大橋新太郎編 ; 第21-24編 - 第24編.-- 博文館; 明治24-25(1891-1892)年.</v>
      </c>
    </row>
    <row r="655" spans="1:3" ht="11.25">
      <c r="A655" s="3" t="str">
        <f>"910.8/1/22/MASAOKA"</f>
        <v>910.8/1/22/MASAOKA</v>
      </c>
      <c r="B655" s="3" t="str">
        <f>"第22編"</f>
        <v>第22編</v>
      </c>
      <c r="C655" s="3" t="str">
        <f>"日本文学全書 / 大橋新太郎編 ; 第21-24編 - 第24編.-- 博文館; 明治24-25(1891-1892)年."</f>
        <v>日本文学全書 / 大橋新太郎編 ; 第21-24編 - 第24編.-- 博文館; 明治24-25(1891-1892)年.</v>
      </c>
    </row>
    <row r="656" spans="1:3" ht="11.25">
      <c r="A656" s="3" t="str">
        <f>"910.8/1/23/MASAOKA"</f>
        <v>910.8/1/23/MASAOKA</v>
      </c>
      <c r="B656" s="3" t="str">
        <f>"第23編"</f>
        <v>第23編</v>
      </c>
      <c r="C656" s="3" t="str">
        <f>"日本文学全書 / 大橋新太郎編 ; 第21-24編 - 第24編.-- 博文館; 明治24-25(1891-1892)年."</f>
        <v>日本文学全書 / 大橋新太郎編 ; 第21-24編 - 第24編.-- 博文館; 明治24-25(1891-1892)年.</v>
      </c>
    </row>
    <row r="657" spans="1:3" ht="11.25">
      <c r="A657" s="3" t="str">
        <f>"910.8/1/24/MASAOKA"</f>
        <v>910.8/1/24/MASAOKA</v>
      </c>
      <c r="B657" s="3" t="str">
        <f>"第24編"</f>
        <v>第24編</v>
      </c>
      <c r="C657" s="3" t="str">
        <f>"日本文学全書 / 大橋新太郎編 ; 第21-24編 - 第24編.-- 博文館; 明治24-25(1891-1892)年."</f>
        <v>日本文学全書 / 大橋新太郎編 ; 第21-24編 - 第24編.-- 博文館; 明治24-25(1891-1892)年.</v>
      </c>
    </row>
    <row r="658" spans="1:3" ht="11.25">
      <c r="A658" s="3" t="str">
        <f>"910.8/2/2/MASAOKA"</f>
        <v>910.8/2/2/MASAOKA</v>
      </c>
      <c r="B658" s="3" t="str">
        <f>"第2編"</f>
        <v>第2編</v>
      </c>
      <c r="C658" s="3" t="str">
        <f aca="true" t="shared" si="18" ref="C658:C668">"近古文芸温知叢書 / 岸上操編 ; 第2-12編 - 第12編.-- 博文館; 明治24(1891)年."</f>
        <v>近古文芸温知叢書 / 岸上操編 ; 第2-12編 - 第12編.-- 博文館; 明治24(1891)年.</v>
      </c>
    </row>
    <row r="659" spans="1:3" ht="11.25">
      <c r="A659" s="3" t="str">
        <f>"910.8/2/3/MASAOKA"</f>
        <v>910.8/2/3/MASAOKA</v>
      </c>
      <c r="B659" s="3" t="str">
        <f>"第3編"</f>
        <v>第3編</v>
      </c>
      <c r="C659" s="3" t="str">
        <f t="shared" si="18"/>
        <v>近古文芸温知叢書 / 岸上操編 ; 第2-12編 - 第12編.-- 博文館; 明治24(1891)年.</v>
      </c>
    </row>
    <row r="660" spans="1:3" ht="11.25">
      <c r="A660" s="3" t="str">
        <f>"910.8/2/4/MASAOKA"</f>
        <v>910.8/2/4/MASAOKA</v>
      </c>
      <c r="B660" s="3" t="str">
        <f>"第4編"</f>
        <v>第4編</v>
      </c>
      <c r="C660" s="3" t="str">
        <f t="shared" si="18"/>
        <v>近古文芸温知叢書 / 岸上操編 ; 第2-12編 - 第12編.-- 博文館; 明治24(1891)年.</v>
      </c>
    </row>
    <row r="661" spans="1:3" ht="11.25">
      <c r="A661" s="3" t="str">
        <f>"910.8/2/5/MASAOKA"</f>
        <v>910.8/2/5/MASAOKA</v>
      </c>
      <c r="B661" s="3" t="str">
        <f>"第5編"</f>
        <v>第5編</v>
      </c>
      <c r="C661" s="3" t="str">
        <f t="shared" si="18"/>
        <v>近古文芸温知叢書 / 岸上操編 ; 第2-12編 - 第12編.-- 博文館; 明治24(1891)年.</v>
      </c>
    </row>
    <row r="662" spans="1:3" ht="11.25">
      <c r="A662" s="3" t="str">
        <f>"910.8/2/6/MASAOKA"</f>
        <v>910.8/2/6/MASAOKA</v>
      </c>
      <c r="B662" s="3" t="str">
        <f>"第6編"</f>
        <v>第6編</v>
      </c>
      <c r="C662" s="3" t="str">
        <f t="shared" si="18"/>
        <v>近古文芸温知叢書 / 岸上操編 ; 第2-12編 - 第12編.-- 博文館; 明治24(1891)年.</v>
      </c>
    </row>
    <row r="663" spans="1:3" ht="11.25">
      <c r="A663" s="3" t="str">
        <f>"910.8/2/7/MASAOKA"</f>
        <v>910.8/2/7/MASAOKA</v>
      </c>
      <c r="B663" s="3" t="str">
        <f>"第7編"</f>
        <v>第7編</v>
      </c>
      <c r="C663" s="3" t="str">
        <f t="shared" si="18"/>
        <v>近古文芸温知叢書 / 岸上操編 ; 第2-12編 - 第12編.-- 博文館; 明治24(1891)年.</v>
      </c>
    </row>
    <row r="664" spans="1:3" ht="11.25">
      <c r="A664" s="3" t="str">
        <f>"910.8/2/8/MASAOKA"</f>
        <v>910.8/2/8/MASAOKA</v>
      </c>
      <c r="B664" s="3" t="str">
        <f>"第8編"</f>
        <v>第8編</v>
      </c>
      <c r="C664" s="3" t="str">
        <f t="shared" si="18"/>
        <v>近古文芸温知叢書 / 岸上操編 ; 第2-12編 - 第12編.-- 博文館; 明治24(1891)年.</v>
      </c>
    </row>
    <row r="665" spans="1:3" ht="11.25">
      <c r="A665" s="3" t="str">
        <f>"910.8/2/9/MASAOKA"</f>
        <v>910.8/2/9/MASAOKA</v>
      </c>
      <c r="B665" s="3" t="str">
        <f>"第9編"</f>
        <v>第9編</v>
      </c>
      <c r="C665" s="3" t="str">
        <f t="shared" si="18"/>
        <v>近古文芸温知叢書 / 岸上操編 ; 第2-12編 - 第12編.-- 博文館; 明治24(1891)年.</v>
      </c>
    </row>
    <row r="666" spans="1:3" ht="11.25">
      <c r="A666" s="3" t="str">
        <f>"910.8/2/10/MASAOKA"</f>
        <v>910.8/2/10/MASAOKA</v>
      </c>
      <c r="B666" s="3" t="str">
        <f>"第10編"</f>
        <v>第10編</v>
      </c>
      <c r="C666" s="3" t="str">
        <f t="shared" si="18"/>
        <v>近古文芸温知叢書 / 岸上操編 ; 第2-12編 - 第12編.-- 博文館; 明治24(1891)年.</v>
      </c>
    </row>
    <row r="667" spans="1:3" ht="11.25">
      <c r="A667" s="3" t="str">
        <f>"910.8/2/11/MASAOKA"</f>
        <v>910.8/2/11/MASAOKA</v>
      </c>
      <c r="B667" s="3" t="str">
        <f>"第11編"</f>
        <v>第11編</v>
      </c>
      <c r="C667" s="3" t="str">
        <f t="shared" si="18"/>
        <v>近古文芸温知叢書 / 岸上操編 ; 第2-12編 - 第12編.-- 博文館; 明治24(1891)年.</v>
      </c>
    </row>
    <row r="668" spans="1:3" ht="11.25">
      <c r="A668" s="3" t="str">
        <f>"910.8/2/12/MASAOKA"</f>
        <v>910.8/2/12/MASAOKA</v>
      </c>
      <c r="B668" s="3" t="str">
        <f>"第12編"</f>
        <v>第12編</v>
      </c>
      <c r="C668" s="3" t="str">
        <f t="shared" si="18"/>
        <v>近古文芸温知叢書 / 岸上操編 ; 第2-12編 - 第12編.-- 博文館; 明治24(1891)年.</v>
      </c>
    </row>
    <row r="669" spans="1:3" ht="11.25">
      <c r="A669" s="3" t="str">
        <f>"910.8/3/1/MASAOKA"</f>
        <v>910.8/3/1/MASAOKA</v>
      </c>
      <c r="B669" s="3" t="str">
        <f>"全"</f>
        <v>全</v>
      </c>
      <c r="C669" s="3" t="str">
        <f>"帝国文庫校訂京伝傑作集 / 大橋新太郎編 ; 全.-- 博文館; 明治26(1893)年12月."</f>
        <v>帝国文庫校訂京伝傑作集 / 大橋新太郎編 ; 全.-- 博文館; 明治26(1893)年12月.</v>
      </c>
    </row>
    <row r="670" spans="1:3" ht="11.25">
      <c r="A670" s="3" t="str">
        <f>"910.8/3/2a/MASAOKA"</f>
        <v>910.8/3/2a/MASAOKA</v>
      </c>
      <c r="B670" s="3" t="str">
        <f>"上巻"</f>
        <v>上巻</v>
      </c>
      <c r="C670" s="3" t="str">
        <f>"帝国文庫校訂珍本全集 / 大橋新太郎編 ; 上巻.-- 博文館; 明治28(1895)年4月."</f>
        <v>帝国文庫校訂珍本全集 / 大橋新太郎編 ; 上巻.-- 博文館; 明治28(1895)年4月.</v>
      </c>
    </row>
    <row r="671" spans="1:3" ht="11.25">
      <c r="A671" s="3" t="str">
        <f>"910.8/3/3a/MASAOKA"</f>
        <v>910.8/3/3a/MASAOKA</v>
      </c>
      <c r="B671" s="3" t="str">
        <f>"上巻"</f>
        <v>上巻</v>
      </c>
      <c r="C671" s="3" t="str">
        <f>"帝国文庫校訂西鶴全集 / 大橋新太郎編 ; 上・下巻, 上巻, 下巻.-- 博文館; 明治27(1894)年."</f>
        <v>帝国文庫校訂西鶴全集 / 大橋新太郎編 ; 上・下巻, 上巻, 下巻.-- 博文館; 明治27(1894)年.</v>
      </c>
    </row>
    <row r="672" spans="1:3" ht="11.25">
      <c r="A672" s="3" t="str">
        <f>"910.8/3/3b/MASAOKA"</f>
        <v>910.8/3/3b/MASAOKA</v>
      </c>
      <c r="B672" s="3" t="str">
        <f>"下巻"</f>
        <v>下巻</v>
      </c>
      <c r="C672" s="3" t="str">
        <f>"帝国文庫校訂西鶴全集 / 大橋新太郎編 ; 上・下巻, 上巻, 下巻.-- 博文館; 明治27(1894)年."</f>
        <v>帝国文庫校訂西鶴全集 / 大橋新太郎編 ; 上・下巻, 上巻, 下巻.-- 博文館; 明治27(1894)年.</v>
      </c>
    </row>
    <row r="673" spans="1:3" ht="11.25">
      <c r="A673" s="3" t="str">
        <f>"910.8/3/4/MASAOKA"</f>
        <v>910.8/3/4/MASAOKA</v>
      </c>
      <c r="B673" s="3" t="str">
        <f>"全"</f>
        <v>全</v>
      </c>
      <c r="C673" s="3" t="str">
        <f>"帝国文庫仏教各宗高僧実伝 / 大橋新太郎編 ; 全.-- 博文館; 明治29(1896)年11月."</f>
        <v>帝国文庫仏教各宗高僧実伝 / 大橋新太郎編 ; 全.-- 博文館; 明治29(1896)年11月.</v>
      </c>
    </row>
    <row r="674" spans="1:3" ht="11.25">
      <c r="A674" s="3" t="str">
        <f>"910.8/4//MASAOKA"</f>
        <v>910.8/4//MASAOKA</v>
      </c>
      <c r="B674" s="3">
        <f>""</f>
      </c>
      <c r="C674" s="3" t="str">
        <f>"続帝国文庫校訂真田三代記 / 大橋新太郎編.-- 4版.-- 博文館; 明治34(1901)年11月."</f>
        <v>続帝国文庫校訂真田三代記 / 大橋新太郎編.-- 4版.-- 博文館; 明治34(1901)年11月.</v>
      </c>
    </row>
    <row r="675" spans="1:3" ht="11.25">
      <c r="A675" s="3" t="str">
        <f>"910.8/5//MASAOKA"</f>
        <v>910.8/5//MASAOKA</v>
      </c>
      <c r="B675" s="3">
        <f>""</f>
      </c>
      <c r="C675" s="3" t="str">
        <f>"美文散文水村山郭 / 高松正道編.-- 大学館; 明治32(1899)年10月."</f>
        <v>美文散文水村山郭 / 高松正道編.-- 大学館; 明治32(1899)年10月.</v>
      </c>
    </row>
    <row r="676" spans="1:3" ht="11.25">
      <c r="A676" s="3" t="str">
        <f>"910.8/6/1/MASAOKA"</f>
        <v>910.8/6/1/MASAOKA</v>
      </c>
      <c r="B676" s="3" t="str">
        <f>"第1号"</f>
        <v>第1号</v>
      </c>
      <c r="C676" s="3" t="str">
        <f>"古著百種 / 賀古保吾郎編 ; 第1-2号, 第1号, 第2号.-- 駸々堂書店; 明治22(1889)年."</f>
        <v>古著百種 / 賀古保吾郎編 ; 第1-2号, 第1号, 第2号.-- 駸々堂書店; 明治22(1889)年.</v>
      </c>
    </row>
    <row r="677" spans="1:3" ht="11.25">
      <c r="A677" s="3" t="str">
        <f>"910.8/6/2/MASAOKA"</f>
        <v>910.8/6/2/MASAOKA</v>
      </c>
      <c r="B677" s="3" t="str">
        <f>"第2号"</f>
        <v>第2号</v>
      </c>
      <c r="C677" s="3" t="str">
        <f>"古著百種 / 賀古保吾郎編 ; 第1-2号, 第1号, 第2号.-- 駸々堂書店; 明治22(1889)年."</f>
        <v>古著百種 / 賀古保吾郎編 ; 第1-2号, 第1号, 第2号.-- 駸々堂書店; 明治22(1889)年.</v>
      </c>
    </row>
    <row r="678" spans="1:3" ht="11.25">
      <c r="A678" s="3" t="str">
        <f>"910.8/7/1/MASAOKA"</f>
        <v>910.8/7/1/MASAOKA</v>
      </c>
      <c r="B678" s="3" t="str">
        <f>"第1編"</f>
        <v>第1編</v>
      </c>
      <c r="C678" s="3" t="str">
        <f aca="true" t="shared" si="19" ref="C678:C686">"少年必読日本文庫 / 岸上操編 ; 第1-5,7-10編 - 第10編.-- 博文館; 明治24-25(1891-1892)年."</f>
        <v>少年必読日本文庫 / 岸上操編 ; 第1-5,7-10編 - 第10編.-- 博文館; 明治24-25(1891-1892)年.</v>
      </c>
    </row>
    <row r="679" spans="1:3" ht="11.25">
      <c r="A679" s="3" t="str">
        <f>"910.8/7/2/MASAOKA"</f>
        <v>910.8/7/2/MASAOKA</v>
      </c>
      <c r="B679" s="3" t="str">
        <f>"第2編"</f>
        <v>第2編</v>
      </c>
      <c r="C679" s="3" t="str">
        <f t="shared" si="19"/>
        <v>少年必読日本文庫 / 岸上操編 ; 第1-5,7-10編 - 第10編.-- 博文館; 明治24-25(1891-1892)年.</v>
      </c>
    </row>
    <row r="680" spans="1:3" ht="11.25">
      <c r="A680" s="3" t="str">
        <f>"910.8/7/3/MASAOKA"</f>
        <v>910.8/7/3/MASAOKA</v>
      </c>
      <c r="B680" s="3" t="str">
        <f>"第3編"</f>
        <v>第3編</v>
      </c>
      <c r="C680" s="3" t="str">
        <f t="shared" si="19"/>
        <v>少年必読日本文庫 / 岸上操編 ; 第1-5,7-10編 - 第10編.-- 博文館; 明治24-25(1891-1892)年.</v>
      </c>
    </row>
    <row r="681" spans="1:3" ht="11.25">
      <c r="A681" s="3" t="str">
        <f>"910.8/7/4/MASAOKA"</f>
        <v>910.8/7/4/MASAOKA</v>
      </c>
      <c r="B681" s="3" t="str">
        <f>"第4編"</f>
        <v>第4編</v>
      </c>
      <c r="C681" s="3" t="str">
        <f t="shared" si="19"/>
        <v>少年必読日本文庫 / 岸上操編 ; 第1-5,7-10編 - 第10編.-- 博文館; 明治24-25(1891-1892)年.</v>
      </c>
    </row>
    <row r="682" spans="1:3" ht="11.25">
      <c r="A682" s="3" t="str">
        <f>"910.8/7/5/MASAOKA"</f>
        <v>910.8/7/5/MASAOKA</v>
      </c>
      <c r="B682" s="3" t="str">
        <f>"第5編"</f>
        <v>第5編</v>
      </c>
      <c r="C682" s="3" t="str">
        <f t="shared" si="19"/>
        <v>少年必読日本文庫 / 岸上操編 ; 第1-5,7-10編 - 第10編.-- 博文館; 明治24-25(1891-1892)年.</v>
      </c>
    </row>
    <row r="683" spans="1:3" ht="11.25">
      <c r="A683" s="3" t="str">
        <f>"910.8/7/7/MASAOKA"</f>
        <v>910.8/7/7/MASAOKA</v>
      </c>
      <c r="B683" s="3" t="str">
        <f>"第7編"</f>
        <v>第7編</v>
      </c>
      <c r="C683" s="3" t="str">
        <f t="shared" si="19"/>
        <v>少年必読日本文庫 / 岸上操編 ; 第1-5,7-10編 - 第10編.-- 博文館; 明治24-25(1891-1892)年.</v>
      </c>
    </row>
    <row r="684" spans="1:3" ht="11.25">
      <c r="A684" s="3" t="str">
        <f>"910.8/7/8/MASAOKA"</f>
        <v>910.8/7/8/MASAOKA</v>
      </c>
      <c r="B684" s="3" t="str">
        <f>"第8編"</f>
        <v>第8編</v>
      </c>
      <c r="C684" s="3" t="str">
        <f t="shared" si="19"/>
        <v>少年必読日本文庫 / 岸上操編 ; 第1-5,7-10編 - 第10編.-- 博文館; 明治24-25(1891-1892)年.</v>
      </c>
    </row>
    <row r="685" spans="1:3" ht="11.25">
      <c r="A685" s="3" t="str">
        <f>"910.8/7/9/MASAOKA"</f>
        <v>910.8/7/9/MASAOKA</v>
      </c>
      <c r="B685" s="3" t="str">
        <f>"第9編"</f>
        <v>第9編</v>
      </c>
      <c r="C685" s="3" t="str">
        <f t="shared" si="19"/>
        <v>少年必読日本文庫 / 岸上操編 ; 第1-5,7-10編 - 第10編.-- 博文館; 明治24-25(1891-1892)年.</v>
      </c>
    </row>
    <row r="686" spans="1:3" ht="11.25">
      <c r="A686" s="3" t="str">
        <f>"910.8/7/10/MASAOKA"</f>
        <v>910.8/7/10/MASAOKA</v>
      </c>
      <c r="B686" s="3" t="str">
        <f>"第10編"</f>
        <v>第10編</v>
      </c>
      <c r="C686" s="3" t="str">
        <f t="shared" si="19"/>
        <v>少年必読日本文庫 / 岸上操編 ; 第1-5,7-10編 - 第10編.-- 博文館; 明治24-25(1891-1892)年.</v>
      </c>
    </row>
    <row r="687" spans="1:3" ht="11.25">
      <c r="A687" s="3" t="str">
        <f>"911.1/1/1/MASAOKA"</f>
        <v>911.1/1/1/MASAOKA</v>
      </c>
      <c r="B687" s="3" t="str">
        <f>"第1編"</f>
        <v>第1編</v>
      </c>
      <c r="C687" s="3" t="str">
        <f aca="true" t="shared" si="20" ref="C687:C697">"日本歌學全書 / 大橋新太郎編 ; 第1編 - 第12編.-- 博文館; 1890-1891."</f>
        <v>日本歌學全書 / 大橋新太郎編 ; 第1編 - 第12編.-- 博文館; 1890-1891.</v>
      </c>
    </row>
    <row r="688" spans="1:3" ht="11.25">
      <c r="A688" s="3" t="str">
        <f>"911.1/1/2/MASAOKA"</f>
        <v>911.1/1/2/MASAOKA</v>
      </c>
      <c r="B688" s="3" t="str">
        <f>"第2編"</f>
        <v>第2編</v>
      </c>
      <c r="C688" s="3" t="str">
        <f t="shared" si="20"/>
        <v>日本歌學全書 / 大橋新太郎編 ; 第1編 - 第12編.-- 博文館; 1890-1891.</v>
      </c>
    </row>
    <row r="689" spans="1:3" ht="11.25">
      <c r="A689" s="3" t="str">
        <f>"911.1/1/3/MASAOKA"</f>
        <v>911.1/1/3/MASAOKA</v>
      </c>
      <c r="B689" s="3" t="str">
        <f>"第3編"</f>
        <v>第3編</v>
      </c>
      <c r="C689" s="3" t="str">
        <f t="shared" si="20"/>
        <v>日本歌學全書 / 大橋新太郎編 ; 第1編 - 第12編.-- 博文館; 1890-1891.</v>
      </c>
    </row>
    <row r="690" spans="1:3" ht="11.25">
      <c r="A690" s="3" t="str">
        <f>"911.1/1/4/MASAOKA"</f>
        <v>911.1/1/4/MASAOKA</v>
      </c>
      <c r="B690" s="3" t="str">
        <f>"第4編"</f>
        <v>第4編</v>
      </c>
      <c r="C690" s="3" t="str">
        <f t="shared" si="20"/>
        <v>日本歌學全書 / 大橋新太郎編 ; 第1編 - 第12編.-- 博文館; 1890-1891.</v>
      </c>
    </row>
    <row r="691" spans="1:3" ht="11.25">
      <c r="A691" s="3" t="str">
        <f>"911.1/1/5/MASAOKA"</f>
        <v>911.1/1/5/MASAOKA</v>
      </c>
      <c r="B691" s="3" t="str">
        <f>"第5編"</f>
        <v>第5編</v>
      </c>
      <c r="C691" s="3" t="str">
        <f t="shared" si="20"/>
        <v>日本歌學全書 / 大橋新太郎編 ; 第1編 - 第12編.-- 博文館; 1890-1891.</v>
      </c>
    </row>
    <row r="692" spans="1:3" ht="11.25">
      <c r="A692" s="3" t="str">
        <f>"911.1/1/6/MASAOKA"</f>
        <v>911.1/1/6/MASAOKA</v>
      </c>
      <c r="B692" s="3" t="str">
        <f>"第6編"</f>
        <v>第6編</v>
      </c>
      <c r="C692" s="3" t="str">
        <f t="shared" si="20"/>
        <v>日本歌學全書 / 大橋新太郎編 ; 第1編 - 第12編.-- 博文館; 1890-1891.</v>
      </c>
    </row>
    <row r="693" spans="1:3" ht="11.25">
      <c r="A693" s="3" t="str">
        <f>"911.1/1/7/MASAOKA"</f>
        <v>911.1/1/7/MASAOKA</v>
      </c>
      <c r="B693" s="3" t="str">
        <f>"第7編"</f>
        <v>第7編</v>
      </c>
      <c r="C693" s="3" t="str">
        <f t="shared" si="20"/>
        <v>日本歌學全書 / 大橋新太郎編 ; 第1編 - 第12編.-- 博文館; 1890-1891.</v>
      </c>
    </row>
    <row r="694" spans="1:3" ht="11.25">
      <c r="A694" s="3" t="str">
        <f>"911.1/1/9/MASAOKA"</f>
        <v>911.1/1/9/MASAOKA</v>
      </c>
      <c r="B694" s="3" t="str">
        <f>"第9編"</f>
        <v>第9編</v>
      </c>
      <c r="C694" s="3" t="str">
        <f t="shared" si="20"/>
        <v>日本歌學全書 / 大橋新太郎編 ; 第1編 - 第12編.-- 博文館; 1890-1891.</v>
      </c>
    </row>
    <row r="695" spans="1:3" ht="11.25">
      <c r="A695" s="3" t="str">
        <f>"911.1/1/10/MASAOKA"</f>
        <v>911.1/1/10/MASAOKA</v>
      </c>
      <c r="B695" s="3" t="str">
        <f>"第10編"</f>
        <v>第10編</v>
      </c>
      <c r="C695" s="3" t="str">
        <f t="shared" si="20"/>
        <v>日本歌學全書 / 大橋新太郎編 ; 第1編 - 第12編.-- 博文館; 1890-1891.</v>
      </c>
    </row>
    <row r="696" spans="1:3" ht="11.25">
      <c r="A696" s="3" t="str">
        <f>"911.1/1/11/MASAOKA"</f>
        <v>911.1/1/11/MASAOKA</v>
      </c>
      <c r="B696" s="3" t="str">
        <f>"第11編"</f>
        <v>第11編</v>
      </c>
      <c r="C696" s="3" t="str">
        <f t="shared" si="20"/>
        <v>日本歌學全書 / 大橋新太郎編 ; 第1編 - 第12編.-- 博文館; 1890-1891.</v>
      </c>
    </row>
    <row r="697" spans="1:3" ht="11.25">
      <c r="A697" s="3" t="str">
        <f>"911.1/1/12/MASAOKA"</f>
        <v>911.1/1/12/MASAOKA</v>
      </c>
      <c r="B697" s="3" t="str">
        <f>"第12編"</f>
        <v>第12編</v>
      </c>
      <c r="C697" s="3" t="str">
        <f t="shared" si="20"/>
        <v>日本歌學全書 / 大橋新太郎編 ; 第1編 - 第12編.-- 博文館; 1890-1891.</v>
      </c>
    </row>
    <row r="698" spans="1:3" ht="11.25">
      <c r="A698" s="3" t="str">
        <f>"911.1/1/b1/MASAOKA"</f>
        <v>911.1/1/b1/MASAOKA</v>
      </c>
      <c r="B698" s="3" t="str">
        <f>"上"</f>
        <v>上</v>
      </c>
      <c r="C698" s="3" t="str">
        <f>"賀茂真淵翁全集 / 佐々木信綱編 ; 上・下, 上, 下.-- 博文館; 明治30-31(1897-1898)年.-- (続日本歌学全書 ; 第1-2編)."</f>
        <v>賀茂真淵翁全集 / 佐々木信綱編 ; 上・下, 上, 下.-- 博文館; 明治30-31(1897-1898)年.-- (続日本歌学全書 ; 第1-2編).</v>
      </c>
    </row>
    <row r="699" spans="1:3" ht="11.25">
      <c r="A699" s="3" t="str">
        <f>"911.1/1/b2/MASAOKA"</f>
        <v>911.1/1/b2/MASAOKA</v>
      </c>
      <c r="B699" s="3" t="str">
        <f>"下"</f>
        <v>下</v>
      </c>
      <c r="C699" s="3" t="str">
        <f>"賀茂真淵翁全集 / 佐々木信綱編 ; 上・下, 上, 下.-- 博文館; 明治30-31(1897-1898)年.-- (続日本歌学全書 ; 第1-2編)."</f>
        <v>賀茂真淵翁全集 / 佐々木信綱編 ; 上・下, 上, 下.-- 博文館; 明治30-31(1897-1898)年.-- (続日本歌学全書 ; 第1-2編).</v>
      </c>
    </row>
    <row r="700" spans="1:3" ht="11.25">
      <c r="A700" s="3" t="str">
        <f>"911.1/1/b3/MASAOKA"</f>
        <v>911.1/1/b3/MASAOKA</v>
      </c>
      <c r="B700" s="3">
        <f>""</f>
      </c>
      <c r="C700" s="3" t="str">
        <f>"本居宣長翁全集 / 佐々木信綱編.-- 博文館; 明治31(1898)年4月.-- (続日本歌学全書 ; 第3編)."</f>
        <v>本居宣長翁全集 / 佐々木信綱編.-- 博文館; 明治31(1898)年4月.-- (続日本歌学全書 ; 第3編).</v>
      </c>
    </row>
    <row r="701" spans="1:3" ht="11.25">
      <c r="A701" s="3" t="str">
        <f>"911.1/1/b4/MASAOKA"</f>
        <v>911.1/1/b4/MASAOKA</v>
      </c>
      <c r="B701" s="3" t="str">
        <f>"上巻"</f>
        <v>上巻</v>
      </c>
      <c r="C701" s="3" t="str">
        <f>"香川景樹翁全集 / 佐々木信綱編 ; 上巻, 下巻.-- 博文館; 1898.6-8.-- (続日本歌学全書 / 佐々木信綱編纂 ; 第4-5編)."</f>
        <v>香川景樹翁全集 / 佐々木信綱編 ; 上巻, 下巻.-- 博文館; 1898.6-8.-- (続日本歌学全書 / 佐々木信綱編纂 ; 第4-5編).</v>
      </c>
    </row>
    <row r="702" spans="1:3" ht="11.25">
      <c r="A702" s="3" t="str">
        <f>"911.1/1/b5/MASAOKA"</f>
        <v>911.1/1/b5/MASAOKA</v>
      </c>
      <c r="B702" s="3" t="str">
        <f>"下巻"</f>
        <v>下巻</v>
      </c>
      <c r="C702" s="3" t="str">
        <f>"香川景樹翁全集 / 佐々木信綱編 ; 上巻, 下巻.-- 博文館; 1898.6-8.-- (続日本歌学全書 / 佐々木信綱編纂 ; 第4-5編)."</f>
        <v>香川景樹翁全集 / 佐々木信綱編 ; 上巻, 下巻.-- 博文館; 1898.6-8.-- (続日本歌学全書 / 佐々木信綱編纂 ; 第4-5編).</v>
      </c>
    </row>
    <row r="703" spans="1:3" ht="11.25">
      <c r="A703" s="3" t="str">
        <f>"911.1/1/b6/MASAOKA"</f>
        <v>911.1/1/b6/MASAOKA</v>
      </c>
      <c r="B703" s="3">
        <f>""</f>
      </c>
      <c r="C703" s="3" t="str">
        <f>"小澤蘆庵翁全集 / 佐々木信綱編.-- 博文館; 明治31(1898)年10月.-- (続日本歌学全書 ; 第6編)."</f>
        <v>小澤蘆庵翁全集 / 佐々木信綱編.-- 博文館; 明治31(1898)年10月.-- (続日本歌学全書 ; 第6編).</v>
      </c>
    </row>
    <row r="704" spans="1:3" ht="11.25">
      <c r="A704" s="3" t="str">
        <f>"911.1/1/b7/MASAOKA"</f>
        <v>911.1/1/b7/MASAOKA</v>
      </c>
      <c r="B704" s="3" t="str">
        <f>"上"</f>
        <v>上</v>
      </c>
      <c r="C704" s="3" t="str">
        <f>"近世名家家集 / 佐々木信綱編 ; 上・下, 上, 下.-- 博文館; 明治31-32(1898-1899)年.-- (続日本歌学全書 ; 第7-8編)."</f>
        <v>近世名家家集 / 佐々木信綱編 ; 上・下, 上, 下.-- 博文館; 明治31-32(1898-1899)年.-- (続日本歌学全書 ; 第7-8編).</v>
      </c>
    </row>
    <row r="705" spans="1:3" ht="11.25">
      <c r="A705" s="3" t="str">
        <f>"911.1/1/b8/MASAOKA"</f>
        <v>911.1/1/b8/MASAOKA</v>
      </c>
      <c r="B705" s="3" t="str">
        <f>"下"</f>
        <v>下</v>
      </c>
      <c r="C705" s="3" t="str">
        <f>"近世名家家集 / 佐々木信綱編 ; 上・下, 上, 下.-- 博文館; 明治31-32(1898-1899)年.-- (続日本歌学全書 ; 第7-8編)."</f>
        <v>近世名家家集 / 佐々木信綱編 ; 上・下, 上, 下.-- 博文館; 明治31-32(1898-1899)年.-- (続日本歌学全書 ; 第7-8編).</v>
      </c>
    </row>
    <row r="706" spans="1:3" ht="11.25">
      <c r="A706" s="3" t="str">
        <f>"911.1/2//MASAOKA"</f>
        <v>911.1/2//MASAOKA</v>
      </c>
      <c r="B706" s="3">
        <f>""</f>
      </c>
      <c r="C706" s="3" t="str">
        <f>"袖珍歌枕 / [著者不明].-- 出雲寺和泉; 宝永5(1708)年5月刊."</f>
        <v>袖珍歌枕 / [著者不明].-- 出雲寺和泉; 宝永5(1708)年5月刊.</v>
      </c>
    </row>
    <row r="707" spans="1:3" ht="11.25">
      <c r="A707" s="3" t="str">
        <f>"911.1/3/1/MASAOKA"</f>
        <v>911.1/3/1/MASAOKA</v>
      </c>
      <c r="B707" s="3" t="str">
        <f>"春部"</f>
        <v>春部</v>
      </c>
      <c r="C707" s="3" t="str">
        <f aca="true" t="shared" si="21" ref="C707:C713">"三玉和歌集類題 / 松井幸隆編 ; 春部 - 雑部下.-- 河南四郎右衛門,吉田四郎右衛門; 元祿9(1696)年2月刊."</f>
        <v>三玉和歌集類題 / 松井幸隆編 ; 春部 - 雑部下.-- 河南四郎右衛門,吉田四郎右衛門; 元祿9(1696)年2月刊.</v>
      </c>
    </row>
    <row r="708" spans="1:3" ht="11.25">
      <c r="A708" s="3" t="str">
        <f>"911.1/3/2/MASAOKA"</f>
        <v>911.1/3/2/MASAOKA</v>
      </c>
      <c r="B708" s="3" t="str">
        <f>"夏部"</f>
        <v>夏部</v>
      </c>
      <c r="C708" s="3" t="str">
        <f t="shared" si="21"/>
        <v>三玉和歌集類題 / 松井幸隆編 ; 春部 - 雑部下.-- 河南四郎右衛門,吉田四郎右衛門; 元祿9(1696)年2月刊.</v>
      </c>
    </row>
    <row r="709" spans="1:3" ht="11.25">
      <c r="A709" s="3" t="str">
        <f>"911.1/3/3/MASAOKA"</f>
        <v>911.1/3/3/MASAOKA</v>
      </c>
      <c r="B709" s="3" t="str">
        <f>"秋部"</f>
        <v>秋部</v>
      </c>
      <c r="C709" s="3" t="str">
        <f t="shared" si="21"/>
        <v>三玉和歌集類題 / 松井幸隆編 ; 春部 - 雑部下.-- 河南四郎右衛門,吉田四郎右衛門; 元祿9(1696)年2月刊.</v>
      </c>
    </row>
    <row r="710" spans="1:3" ht="11.25">
      <c r="A710" s="3" t="str">
        <f>"911.1/3/4/MASAOKA"</f>
        <v>911.1/3/4/MASAOKA</v>
      </c>
      <c r="B710" s="3" t="str">
        <f>"冬部"</f>
        <v>冬部</v>
      </c>
      <c r="C710" s="3" t="str">
        <f t="shared" si="21"/>
        <v>三玉和歌集類題 / 松井幸隆編 ; 春部 - 雑部下.-- 河南四郎右衛門,吉田四郎右衛門; 元祿9(1696)年2月刊.</v>
      </c>
    </row>
    <row r="711" spans="1:3" ht="11.25">
      <c r="A711" s="3" t="str">
        <f>"911.1/3/5/MASAOKA"</f>
        <v>911.1/3/5/MASAOKA</v>
      </c>
      <c r="B711" s="3" t="str">
        <f>"恋部"</f>
        <v>恋部</v>
      </c>
      <c r="C711" s="3" t="str">
        <f t="shared" si="21"/>
        <v>三玉和歌集類題 / 松井幸隆編 ; 春部 - 雑部下.-- 河南四郎右衛門,吉田四郎右衛門; 元祿9(1696)年2月刊.</v>
      </c>
    </row>
    <row r="712" spans="1:3" ht="11.25">
      <c r="A712" s="3" t="str">
        <f>"911.1/3/6a/MASAOKA"</f>
        <v>911.1/3/6a/MASAOKA</v>
      </c>
      <c r="B712" s="3" t="str">
        <f>"雑部上"</f>
        <v>雑部上</v>
      </c>
      <c r="C712" s="3" t="str">
        <f t="shared" si="21"/>
        <v>三玉和歌集類題 / 松井幸隆編 ; 春部 - 雑部下.-- 河南四郎右衛門,吉田四郎右衛門; 元祿9(1696)年2月刊.</v>
      </c>
    </row>
    <row r="713" spans="1:3" ht="11.25">
      <c r="A713" s="3" t="str">
        <f>"911.1/3/6b/MASAOKA"</f>
        <v>911.1/3/6b/MASAOKA</v>
      </c>
      <c r="B713" s="3" t="str">
        <f>"雑部下"</f>
        <v>雑部下</v>
      </c>
      <c r="C713" s="3" t="str">
        <f t="shared" si="21"/>
        <v>三玉和歌集類題 / 松井幸隆編 ; 春部 - 雑部下.-- 河南四郎右衛門,吉田四郎右衛門; 元祿9(1696)年2月刊.</v>
      </c>
    </row>
    <row r="714" spans="1:3" ht="11.25">
      <c r="A714" s="3" t="str">
        <f>"911.1/4/1/MASAOKA"</f>
        <v>911.1/4/1/MASAOKA</v>
      </c>
      <c r="B714" s="3" t="str">
        <f>"上巻"</f>
        <v>上巻</v>
      </c>
      <c r="C714" s="3" t="str">
        <f>"梶の葉 / [徳山梶子著] ; 上・下巻, 上巻, 下巻.-- 平安書舍; 宝永4(1707)年刊."</f>
        <v>梶の葉 / [徳山梶子著] ; 上・下巻, 上巻, 下巻.-- 平安書舍; 宝永4(1707)年刊.</v>
      </c>
    </row>
    <row r="715" spans="1:3" ht="11.25">
      <c r="A715" s="3" t="str">
        <f>"911.1/4/2/MASAOKA"</f>
        <v>911.1/4/2/MASAOKA</v>
      </c>
      <c r="B715" s="3" t="str">
        <f>"下巻"</f>
        <v>下巻</v>
      </c>
      <c r="C715" s="3" t="str">
        <f>"梶の葉 / [徳山梶子著] ; 上・下巻, 上巻, 下巻.-- 平安書舍; 宝永4(1707)年刊."</f>
        <v>梶の葉 / [徳山梶子著] ; 上・下巻, 上巻, 下巻.-- 平安書舍; 宝永4(1707)年刊.</v>
      </c>
    </row>
    <row r="716" spans="1:3" ht="11.25">
      <c r="A716" s="3" t="str">
        <f>"911.1/5/1/MASAOKA"</f>
        <v>911.1/5/1/MASAOKA</v>
      </c>
      <c r="B716" s="3" t="str">
        <f>"上"</f>
        <v>上</v>
      </c>
      <c r="C716" s="3" t="str">
        <f>"堀河院艶書合 / [藤原公実, 周防内侍ほか] ; 上・下, 上, 下.-- 洛陽書林; 寛文1(1661)年6月刊."</f>
        <v>堀河院艶書合 / [藤原公実, 周防内侍ほか] ; 上・下, 上, 下.-- 洛陽書林; 寛文1(1661)年6月刊.</v>
      </c>
    </row>
    <row r="717" spans="1:3" ht="11.25">
      <c r="A717" s="3" t="str">
        <f>"911.1/5/2/MASAOKA"</f>
        <v>911.1/5/2/MASAOKA</v>
      </c>
      <c r="B717" s="3" t="str">
        <f>"下"</f>
        <v>下</v>
      </c>
      <c r="C717" s="3" t="str">
        <f>"堀河院艶書合 / [藤原公実, 周防内侍ほか] ; 上・下, 上, 下.-- 洛陽書林; 寛文1(1661)年6月刊."</f>
        <v>堀河院艶書合 / [藤原公実, 周防内侍ほか] ; 上・下, 上, 下.-- 洛陽書林; 寛文1(1661)年6月刊.</v>
      </c>
    </row>
    <row r="718" spans="1:3" ht="11.25">
      <c r="A718" s="3" t="str">
        <f>"911.1/6//MASAOKA"</f>
        <v>911.1/6//MASAOKA</v>
      </c>
      <c r="B718" s="3">
        <f>""</f>
      </c>
      <c r="C718" s="3" t="str">
        <f>"鴫羽掻 / [著者不明].-- [出版者不明]; [出版年不明]."</f>
        <v>鴫羽掻 / [著者不明].-- [出版者不明]; [出版年不明].</v>
      </c>
    </row>
    <row r="719" spans="1:3" ht="11.25">
      <c r="A719" s="3" t="str">
        <f>"911.1/7/1/MASAOKA"</f>
        <v>911.1/7/1/MASAOKA</v>
      </c>
      <c r="B719" s="3">
        <f>""</f>
      </c>
      <c r="C719" s="3" t="str">
        <f>"絵本鶯宿梅 / [橘守国画].-- [出版者不明]; [元文5(1740)刊]."</f>
        <v>絵本鶯宿梅 / [橘守国画].-- [出版者不明]; [元文5(1740)刊].</v>
      </c>
    </row>
    <row r="720" spans="1:3" ht="11.25">
      <c r="A720" s="3" t="str">
        <f>"911.1/8/1/MASAOKA"</f>
        <v>911.1/8/1/MASAOKA</v>
      </c>
      <c r="B720" s="3" t="str">
        <f>"上"</f>
        <v>上</v>
      </c>
      <c r="C720" s="3" t="str">
        <f>"兼好法師家集 / 吉田兼好著 ; 上・下, 上, 下.-- 洛陽今出川; 寛文4(1664)年刊."</f>
        <v>兼好法師家集 / 吉田兼好著 ; 上・下, 上, 下.-- 洛陽今出川; 寛文4(1664)年刊.</v>
      </c>
    </row>
    <row r="721" spans="1:3" ht="11.25">
      <c r="A721" s="3" t="str">
        <f>"911.1/8/2/MASAOKA"</f>
        <v>911.1/8/2/MASAOKA</v>
      </c>
      <c r="B721" s="3" t="str">
        <f>"下"</f>
        <v>下</v>
      </c>
      <c r="C721" s="3" t="str">
        <f>"兼好法師家集 / 吉田兼好著 ; 上・下, 上, 下.-- 洛陽今出川; 寛文4(1664)年刊."</f>
        <v>兼好法師家集 / 吉田兼好著 ; 上・下, 上, 下.-- 洛陽今出川; 寛文4(1664)年刊.</v>
      </c>
    </row>
    <row r="722" spans="1:3" ht="11.25">
      <c r="A722" s="3" t="str">
        <f>"911.1/9/1/MASAOKA"</f>
        <v>911.1/9/1/MASAOKA</v>
      </c>
      <c r="B722" s="3" t="str">
        <f>"春"</f>
        <v>春</v>
      </c>
      <c r="C722" s="3" t="str">
        <f aca="true" t="shared" si="22" ref="C722:C727">"和歌題林愚抄 / [山科言緒編] ; 春 - 雑.-- 村上平林寺; 元祿5(1692)年10月刊."</f>
        <v>和歌題林愚抄 / [山科言緒編] ; 春 - 雑.-- 村上平林寺; 元祿5(1692)年10月刊.</v>
      </c>
    </row>
    <row r="723" spans="1:3" ht="11.25">
      <c r="A723" s="3" t="str">
        <f>"911.1/9/2/MASAOKA"</f>
        <v>911.1/9/2/MASAOKA</v>
      </c>
      <c r="B723" s="3" t="str">
        <f>"夏"</f>
        <v>夏</v>
      </c>
      <c r="C723" s="3" t="str">
        <f t="shared" si="22"/>
        <v>和歌題林愚抄 / [山科言緒編] ; 春 - 雑.-- 村上平林寺; 元祿5(1692)年10月刊.</v>
      </c>
    </row>
    <row r="724" spans="1:3" ht="11.25">
      <c r="A724" s="3" t="str">
        <f>"911.1/9/3/MASAOKA"</f>
        <v>911.1/9/3/MASAOKA</v>
      </c>
      <c r="B724" s="3" t="str">
        <f>"秋"</f>
        <v>秋</v>
      </c>
      <c r="C724" s="3" t="str">
        <f t="shared" si="22"/>
        <v>和歌題林愚抄 / [山科言緒編] ; 春 - 雑.-- 村上平林寺; 元祿5(1692)年10月刊.</v>
      </c>
    </row>
    <row r="725" spans="1:3" ht="11.25">
      <c r="A725" s="3" t="str">
        <f>"911.1/9/4/MASAOKA"</f>
        <v>911.1/9/4/MASAOKA</v>
      </c>
      <c r="B725" s="3" t="str">
        <f>"冬"</f>
        <v>冬</v>
      </c>
      <c r="C725" s="3" t="str">
        <f t="shared" si="22"/>
        <v>和歌題林愚抄 / [山科言緒編] ; 春 - 雑.-- 村上平林寺; 元祿5(1692)年10月刊.</v>
      </c>
    </row>
    <row r="726" spans="1:3" ht="11.25">
      <c r="A726" s="3" t="str">
        <f>"911.1/9/5/MASAOKA"</f>
        <v>911.1/9/5/MASAOKA</v>
      </c>
      <c r="B726" s="3" t="str">
        <f>"恋"</f>
        <v>恋</v>
      </c>
      <c r="C726" s="3" t="str">
        <f t="shared" si="22"/>
        <v>和歌題林愚抄 / [山科言緒編] ; 春 - 雑.-- 村上平林寺; 元祿5(1692)年10月刊.</v>
      </c>
    </row>
    <row r="727" spans="1:3" ht="11.25">
      <c r="A727" s="3" t="str">
        <f>"911.1/9/6/MASAOKA"</f>
        <v>911.1/9/6/MASAOKA</v>
      </c>
      <c r="B727" s="3" t="str">
        <f>"雑"</f>
        <v>雑</v>
      </c>
      <c r="C727" s="3" t="str">
        <f t="shared" si="22"/>
        <v>和歌題林愚抄 / [山科言緒編] ; 春 - 雑.-- 村上平林寺; 元祿5(1692)年10月刊.</v>
      </c>
    </row>
    <row r="728" spans="1:3" ht="11.25">
      <c r="A728" s="3" t="str">
        <f>"911.1/10/1/MASAOKA"</f>
        <v>911.1/10/1/MASAOKA</v>
      </c>
      <c r="B728" s="3" t="str">
        <f>"1"</f>
        <v>1</v>
      </c>
      <c r="C728" s="3" t="str">
        <f>"金槐和歌集 / 源実朝著 ; 1-3 - 3.-- 河内屋茂兵衛[ほか10軒]; 貞享4(1687)年5月刊."</f>
        <v>金槐和歌集 / 源実朝著 ; 1-3 - 3.-- 河内屋茂兵衛[ほか10軒]; 貞享4(1687)年5月刊.</v>
      </c>
    </row>
    <row r="729" spans="1:3" ht="11.25">
      <c r="A729" s="3" t="str">
        <f>"911.1/10/2/MASAOKA"</f>
        <v>911.1/10/2/MASAOKA</v>
      </c>
      <c r="B729" s="3" t="str">
        <f>"2"</f>
        <v>2</v>
      </c>
      <c r="C729" s="3" t="str">
        <f>"金槐和歌集 / 源実朝著 ; 1-3 - 3.-- 河内屋茂兵衛[ほか10軒]; 貞享4(1687)年5月刊."</f>
        <v>金槐和歌集 / 源実朝著 ; 1-3 - 3.-- 河内屋茂兵衛[ほか10軒]; 貞享4(1687)年5月刊.</v>
      </c>
    </row>
    <row r="730" spans="1:3" ht="11.25">
      <c r="A730" s="3" t="str">
        <f>"911.1/10/3/MASAOKA"</f>
        <v>911.1/10/3/MASAOKA</v>
      </c>
      <c r="B730" s="3" t="str">
        <f>"3"</f>
        <v>3</v>
      </c>
      <c r="C730" s="3" t="str">
        <f>"金槐和歌集 / 源実朝著 ; 1-3 - 3.-- 河内屋茂兵衛[ほか10軒]; 貞享4(1687)年5月刊."</f>
        <v>金槐和歌集 / 源実朝著 ; 1-3 - 3.-- 河内屋茂兵衛[ほか10軒]; 貞享4(1687)年5月刊.</v>
      </c>
    </row>
    <row r="731" spans="1:3" ht="11.25">
      <c r="A731" s="3" t="str">
        <f>"911.1/11/1/MASAOKA"</f>
        <v>911.1/11/1/MASAOKA</v>
      </c>
      <c r="B731" s="3" t="str">
        <f>"1巻"</f>
        <v>1巻</v>
      </c>
      <c r="C731" s="3" t="str">
        <f>"井蛙抄 / 頓阿編 ; 1-5・6巻 - 5・6巻.-- 村上清三郎[ほか1軒]; 宝永6(1709)年8月刊."</f>
        <v>井蛙抄 / 頓阿編 ; 1-5・6巻 - 5・6巻.-- 村上清三郎[ほか1軒]; 宝永6(1709)年8月刊.</v>
      </c>
    </row>
    <row r="732" spans="1:3" ht="11.25">
      <c r="A732" s="3" t="str">
        <f>"911.1/11/2/MASAOKA"</f>
        <v>911.1/11/2/MASAOKA</v>
      </c>
      <c r="B732" s="3" t="str">
        <f>"2巻"</f>
        <v>2巻</v>
      </c>
      <c r="C732" s="3" t="str">
        <f>"井蛙抄 / 頓阿編 ; 1-5・6巻 - 5・6巻.-- 村上清三郎[ほか1軒]; 宝永6(1709)年8月刊."</f>
        <v>井蛙抄 / 頓阿編 ; 1-5・6巻 - 5・6巻.-- 村上清三郎[ほか1軒]; 宝永6(1709)年8月刊.</v>
      </c>
    </row>
    <row r="733" spans="1:3" ht="11.25">
      <c r="A733" s="3" t="str">
        <f>"911.1/11/3/MASAOKA"</f>
        <v>911.1/11/3/MASAOKA</v>
      </c>
      <c r="B733" s="3" t="str">
        <f>"3巻"</f>
        <v>3巻</v>
      </c>
      <c r="C733" s="3" t="str">
        <f>"井蛙抄 / 頓阿編 ; 1-5・6巻 - 5・6巻.-- 村上清三郎[ほか1軒]; 宝永6(1709)年8月刊."</f>
        <v>井蛙抄 / 頓阿編 ; 1-5・6巻 - 5・6巻.-- 村上清三郎[ほか1軒]; 宝永6(1709)年8月刊.</v>
      </c>
    </row>
    <row r="734" spans="1:3" ht="11.25">
      <c r="A734" s="3" t="str">
        <f>"911.1/11/4/MASAOKA"</f>
        <v>911.1/11/4/MASAOKA</v>
      </c>
      <c r="B734" s="3" t="str">
        <f>"4巻"</f>
        <v>4巻</v>
      </c>
      <c r="C734" s="3" t="str">
        <f>"井蛙抄 / 頓阿編 ; 1-5・6巻 - 5・6巻.-- 村上清三郎[ほか1軒]; 宝永6(1709)年8月刊."</f>
        <v>井蛙抄 / 頓阿編 ; 1-5・6巻 - 5・6巻.-- 村上清三郎[ほか1軒]; 宝永6(1709)年8月刊.</v>
      </c>
    </row>
    <row r="735" spans="1:3" ht="11.25">
      <c r="A735" s="3" t="str">
        <f>"911.1/11/5/MASAOKA"</f>
        <v>911.1/11/5/MASAOKA</v>
      </c>
      <c r="B735" s="3" t="str">
        <f>"5・6巻"</f>
        <v>5・6巻</v>
      </c>
      <c r="C735" s="3" t="str">
        <f>"井蛙抄 / 頓阿編 ; 1-5・6巻 - 5・6巻.-- 村上清三郎[ほか1軒]; 宝永6(1709)年8月刊."</f>
        <v>井蛙抄 / 頓阿編 ; 1-5・6巻 - 5・6巻.-- 村上清三郎[ほか1軒]; 宝永6(1709)年8月刊.</v>
      </c>
    </row>
    <row r="736" spans="1:3" ht="11.25">
      <c r="A736" s="3" t="str">
        <f>"911.1/12/1/MASAOKA"</f>
        <v>911.1/12/1/MASAOKA</v>
      </c>
      <c r="B736" s="3" t="str">
        <f>"上"</f>
        <v>上</v>
      </c>
      <c r="C736" s="3" t="str">
        <f>"あずまうた / 加藤枝直著,加藤千蔭編 ; 上・中・下 - 下.-- 瑞玉堂; 享和2(1802)年3月."</f>
        <v>あずまうた / 加藤枝直著,加藤千蔭編 ; 上・中・下 - 下.-- 瑞玉堂; 享和2(1802)年3月.</v>
      </c>
    </row>
    <row r="737" spans="1:3" ht="11.25">
      <c r="A737" s="3" t="str">
        <f>"911.1/12/2/MASAOKA"</f>
        <v>911.1/12/2/MASAOKA</v>
      </c>
      <c r="B737" s="3" t="str">
        <f>"中"</f>
        <v>中</v>
      </c>
      <c r="C737" s="3" t="str">
        <f>"あずまうた / 加藤枝直著,加藤千蔭編 ; 上・中・下 - 下.-- 瑞玉堂; 享和2(1802)年3月."</f>
        <v>あずまうた / 加藤枝直著,加藤千蔭編 ; 上・中・下 - 下.-- 瑞玉堂; 享和2(1802)年3月.</v>
      </c>
    </row>
    <row r="738" spans="1:3" ht="11.25">
      <c r="A738" s="3" t="str">
        <f>"911.1/12/3/MASAOKA"</f>
        <v>911.1/12/3/MASAOKA</v>
      </c>
      <c r="B738" s="3" t="str">
        <f>"下"</f>
        <v>下</v>
      </c>
      <c r="C738" s="3" t="str">
        <f>"あずまうた / 加藤枝直著,加藤千蔭編 ; 上・中・下 - 下.-- 瑞玉堂; 享和2(1802)年3月."</f>
        <v>あずまうた / 加藤枝直著,加藤千蔭編 ; 上・中・下 - 下.-- 瑞玉堂; 享和2(1802)年3月.</v>
      </c>
    </row>
    <row r="739" spans="1:3" ht="11.25">
      <c r="A739" s="3" t="str">
        <f>"911.1/13/3-4/MASAOKA"</f>
        <v>911.1/13/3-4/MASAOKA</v>
      </c>
      <c r="B739" s="3" t="str">
        <f>"3・4"</f>
        <v>3・4</v>
      </c>
      <c r="C739" s="3" t="str">
        <f>"絵本通宝志 / [橘守国画] ; 3・4.-- [出版者不明]; [享保14(1729)年刊]."</f>
        <v>絵本通宝志 / [橘守国画] ; 3・4.-- [出版者不明]; [享保14(1729)年刊].</v>
      </c>
    </row>
    <row r="740" spans="1:3" ht="11.25">
      <c r="A740" s="3" t="str">
        <f>"911.1/14/3b/MASAOKA"</f>
        <v>911.1/14/3b/MASAOKA</v>
      </c>
      <c r="B740" s="3" t="str">
        <f>"秋部下"</f>
        <v>秋部下</v>
      </c>
      <c r="C740" s="3" t="str">
        <f>"明題和歌全集 / [今川了俊編] ; 秋部下.-- [出版者不明]; [出版年不明]."</f>
        <v>明題和歌全集 / [今川了俊編] ; 秋部下.-- [出版者不明]; [出版年不明].</v>
      </c>
    </row>
    <row r="741" spans="1:3" ht="11.25">
      <c r="A741" s="3" t="str">
        <f>"911.1/15//MASAOKA"</f>
        <v>911.1/15//MASAOKA</v>
      </c>
      <c r="B741" s="3">
        <f>""</f>
      </c>
      <c r="C741" s="3" t="str">
        <f>"当世百歌仙 / 多田清興撰.-- 阪本屋丈二郎[ほか7軒]; 安政2(1855)年序・跋刊."</f>
        <v>当世百歌仙 / 多田清興撰.-- 阪本屋丈二郎[ほか7軒]; 安政2(1855)年序・跋刊.</v>
      </c>
    </row>
    <row r="742" spans="1:3" ht="11.25">
      <c r="A742" s="3" t="str">
        <f>"911.1/16//MASAOKA"</f>
        <v>911.1/16//MASAOKA</v>
      </c>
      <c r="B742" s="3">
        <f>""</f>
      </c>
      <c r="C742" s="3" t="str">
        <f>"夢窓国師御詠 / 夢窓疎石.-- 天竜寺; [出版年不明]."</f>
        <v>夢窓国師御詠 / 夢窓疎石.-- 天竜寺; [出版年不明].</v>
      </c>
    </row>
    <row r="743" spans="1:3" ht="11.25">
      <c r="A743" s="3" t="str">
        <f>"911.1/18//MASAOKA"</f>
        <v>911.1/18//MASAOKA</v>
      </c>
      <c r="B743" s="3">
        <f>""</f>
      </c>
      <c r="C743" s="3" t="str">
        <f>"和歌集 / [著者不明].-- [製作者不明]; [製作年不明]."</f>
        <v>和歌集 / [著者不明].-- [製作者不明]; [製作年不明].</v>
      </c>
    </row>
    <row r="744" spans="1:3" ht="11.25">
      <c r="A744" s="3" t="str">
        <f>"911.1/19//MASAOKA"</f>
        <v>911.1/19//MASAOKA</v>
      </c>
      <c r="B744" s="3">
        <f>""</f>
      </c>
      <c r="C744" s="3" t="str">
        <f>"柳園家集 / 海野幸典.-- 海野; 嘉永3(1850)年12月刊."</f>
        <v>柳園家集 / 海野幸典.-- 海野; 嘉永3(1850)年12月刊.</v>
      </c>
    </row>
    <row r="745" spans="1:3" ht="11.25">
      <c r="A745" s="3" t="str">
        <f>"911.1/20//MASAOKA"</f>
        <v>911.1/20//MASAOKA</v>
      </c>
      <c r="B745" s="3">
        <f>""</f>
      </c>
      <c r="C745" s="3" t="str">
        <f>"古今和歌集一首撰 / 大森盛顕.-- 岡村屋庄助[ほか5軒]; 嘉永6(1853)年1月刊."</f>
        <v>古今和歌集一首撰 / 大森盛顕.-- 岡村屋庄助[ほか5軒]; 嘉永6(1853)年1月刊.</v>
      </c>
    </row>
    <row r="746" spans="1:3" ht="11.25">
      <c r="A746" s="3" t="str">
        <f>"911.1/21/1/MASAOKA"</f>
        <v>911.1/21/1/MASAOKA</v>
      </c>
      <c r="B746" s="3" t="str">
        <f>"上"</f>
        <v>上</v>
      </c>
      <c r="C746" s="3" t="str">
        <f>"勝地吐懐編 / 契沖著 ; 上・下, 上, 下.-- 平安書林[ほか7軒]; 寛政4(1972)年11月."</f>
        <v>勝地吐懐編 / 契沖著 ; 上・下, 上, 下.-- 平安書林[ほか7軒]; 寛政4(1972)年11月.</v>
      </c>
    </row>
    <row r="747" spans="1:3" ht="11.25">
      <c r="A747" s="3" t="str">
        <f>"911.1/21/2/MASAOKA"</f>
        <v>911.1/21/2/MASAOKA</v>
      </c>
      <c r="B747" s="3" t="str">
        <f>"下"</f>
        <v>下</v>
      </c>
      <c r="C747" s="3" t="str">
        <f>"勝地吐懐編 / 契沖著 ; 上・下, 上, 下.-- 平安書林[ほか7軒]; 寛政4(1972)年11月."</f>
        <v>勝地吐懐編 / 契沖著 ; 上・下, 上, 下.-- 平安書林[ほか7軒]; 寛政4(1972)年11月.</v>
      </c>
    </row>
    <row r="748" spans="1:3" ht="11.25">
      <c r="A748" s="3" t="str">
        <f>"911.1/22/1/MASAOKA"</f>
        <v>911.1/22/1/MASAOKA</v>
      </c>
      <c r="B748" s="3" t="str">
        <f>"上"</f>
        <v>上</v>
      </c>
      <c r="C748" s="3" t="str">
        <f>"言霊舎広吟万玉集 / 源保之[著] ; 上・中・下 - 下.-- 言霊舎社中; 天保10(1839)年刊行."</f>
        <v>言霊舎広吟万玉集 / 源保之[著] ; 上・中・下 - 下.-- 言霊舎社中; 天保10(1839)年刊行.</v>
      </c>
    </row>
    <row r="749" spans="1:3" ht="11.25">
      <c r="A749" s="3" t="str">
        <f>"911.1/22/2/MASAOKA"</f>
        <v>911.1/22/2/MASAOKA</v>
      </c>
      <c r="B749" s="3" t="str">
        <f>"中"</f>
        <v>中</v>
      </c>
      <c r="C749" s="3" t="str">
        <f>"言霊舎広吟万玉集 / 源保之[著] ; 上・中・下 - 下.-- 言霊舎社中; 天保10(1839)年刊行."</f>
        <v>言霊舎広吟万玉集 / 源保之[著] ; 上・中・下 - 下.-- 言霊舎社中; 天保10(1839)年刊行.</v>
      </c>
    </row>
    <row r="750" spans="1:3" ht="11.25">
      <c r="A750" s="3" t="str">
        <f>"911.1/22/3/MASAOKA"</f>
        <v>911.1/22/3/MASAOKA</v>
      </c>
      <c r="B750" s="3" t="str">
        <f>"下"</f>
        <v>下</v>
      </c>
      <c r="C750" s="3" t="str">
        <f>"言霊舎広吟万玉集 / 源保之[著] ; 上・中・下 - 下.-- 言霊舎社中; 天保10(1839)年刊行."</f>
        <v>言霊舎広吟万玉集 / 源保之[著] ; 上・中・下 - 下.-- 言霊舎社中; 天保10(1839)年刊行.</v>
      </c>
    </row>
    <row r="751" spans="1:3" ht="11.25">
      <c r="A751" s="3" t="str">
        <f>"911.1/23//MASAOKA"</f>
        <v>911.1/23//MASAOKA</v>
      </c>
      <c r="B751" s="3">
        <f>""</f>
      </c>
      <c r="C751" s="3" t="str">
        <f>"戴恩記 / 松永貞徳著 ; 全.-- 永田長兵衛; 天和2(1682)年."</f>
        <v>戴恩記 / 松永貞徳著 ; 全.-- 永田長兵衛; 天和2(1682)年.</v>
      </c>
    </row>
    <row r="752" spans="1:3" ht="11.25">
      <c r="A752" s="3" t="str">
        <f>"911.1/24//MASAOKA"</f>
        <v>911.1/24//MASAOKA</v>
      </c>
      <c r="B752" s="3">
        <f>""</f>
      </c>
      <c r="C752" s="3" t="str">
        <f>"庚子道の記 / 白拍子武女[著],清水浜臣[編].-- 英平吉[ほか1軒]; 文化6(1809)年刊."</f>
        <v>庚子道の記 / 白拍子武女[著],清水浜臣[編].-- 英平吉[ほか1軒]; 文化6(1809)年刊.</v>
      </c>
    </row>
    <row r="753" spans="1:3" ht="11.25">
      <c r="A753" s="3" t="str">
        <f>"911.1/25//MASAOKA"</f>
        <v>911.1/25//MASAOKA</v>
      </c>
      <c r="B753" s="3">
        <f>""</f>
      </c>
      <c r="C753" s="3" t="str">
        <f>"竹園抄 / [藤原為顕].-- [出版者不明]; 寛永21(1644)年9月."</f>
        <v>竹園抄 / [藤原為顕].-- [出版者不明]; 寛永21(1644)年9月.</v>
      </c>
    </row>
    <row r="754" spans="1:3" ht="11.25">
      <c r="A754" s="3" t="str">
        <f>"911.1/26/1/MASAOKA"</f>
        <v>911.1/26/1/MASAOKA</v>
      </c>
      <c r="B754" s="3" t="str">
        <f>"巻上"</f>
        <v>巻上</v>
      </c>
      <c r="C754" s="3" t="str">
        <f>"和漢朗詠集 / [藤原公任編] ; 巻上・下, 巻上, 巻下.-- 村上平楽寺; 明暦3(1657)年11月刊."</f>
        <v>和漢朗詠集 / [藤原公任編] ; 巻上・下, 巻上, 巻下.-- 村上平楽寺; 明暦3(1657)年11月刊.</v>
      </c>
    </row>
    <row r="755" spans="1:3" ht="11.25">
      <c r="A755" s="3" t="str">
        <f>"911.1/26/2/MASAOKA"</f>
        <v>911.1/26/2/MASAOKA</v>
      </c>
      <c r="B755" s="3" t="str">
        <f>"巻下"</f>
        <v>巻下</v>
      </c>
      <c r="C755" s="3" t="str">
        <f>"和漢朗詠集 / [藤原公任編] ; 巻上・下, 巻上, 巻下.-- 村上平楽寺; 明暦3(1657)年11月刊."</f>
        <v>和漢朗詠集 / [藤原公任編] ; 巻上・下, 巻上, 巻下.-- 村上平楽寺; 明暦3(1657)年11月刊.</v>
      </c>
    </row>
    <row r="756" spans="1:3" ht="11.25">
      <c r="A756" s="3" t="str">
        <f>"911.1/27/1/MASAOKA"</f>
        <v>911.1/27/1/MASAOKA</v>
      </c>
      <c r="B756" s="3" t="str">
        <f>"上"</f>
        <v>上</v>
      </c>
      <c r="C756" s="3" t="str">
        <f>"古今和歌集 / 紀貫之編 ; 上・下, 上, 下.-- 新版.-- 松会開板; 延宝2(1674)年1月."</f>
        <v>古今和歌集 / 紀貫之編 ; 上・下, 上, 下.-- 新版.-- 松会開板; 延宝2(1674)年1月.</v>
      </c>
    </row>
    <row r="757" spans="1:3" ht="11.25">
      <c r="A757" s="3" t="str">
        <f>"911.1/27/2/MASAOKA"</f>
        <v>911.1/27/2/MASAOKA</v>
      </c>
      <c r="B757" s="3" t="str">
        <f>"下"</f>
        <v>下</v>
      </c>
      <c r="C757" s="3" t="str">
        <f>"古今和歌集 / 紀貫之編 ; 上・下, 上, 下.-- 新版.-- 松会開板; 延宝2(1674)年1月."</f>
        <v>古今和歌集 / 紀貫之編 ; 上・下, 上, 下.-- 新版.-- 松会開板; 延宝2(1674)年1月.</v>
      </c>
    </row>
    <row r="758" spans="1:3" ht="11.25">
      <c r="A758" s="3" t="str">
        <f>"911.1/28/1/MASAOKA"</f>
        <v>911.1/28/1/MASAOKA</v>
      </c>
      <c r="B758" s="3" t="str">
        <f>"上"</f>
        <v>上</v>
      </c>
      <c r="C758" s="3" t="str">
        <f>"古今和歌集 / 紀貫之編 ; 上・下, 上, 下.-- [出版者不明]; 寛文3(1663)年10月刊."</f>
        <v>古今和歌集 / 紀貫之編 ; 上・下, 上, 下.-- [出版者不明]; 寛文3(1663)年10月刊.</v>
      </c>
    </row>
    <row r="759" spans="1:3" ht="11.25">
      <c r="A759" s="3" t="str">
        <f>"911.1/28/2/MASAOKA"</f>
        <v>911.1/28/2/MASAOKA</v>
      </c>
      <c r="B759" s="3" t="str">
        <f>"下"</f>
        <v>下</v>
      </c>
      <c r="C759" s="3" t="str">
        <f>"古今和歌集 / 紀貫之編 ; 上・下, 上, 下.-- [出版者不明]; 寛文3(1663)年10月刊."</f>
        <v>古今和歌集 / 紀貫之編 ; 上・下, 上, 下.-- [出版者不明]; 寛文3(1663)年10月刊.</v>
      </c>
    </row>
    <row r="760" spans="1:3" ht="11.25">
      <c r="A760" s="3" t="str">
        <f>"911.1/29/1/MASAOKA"</f>
        <v>911.1/29/1/MASAOKA</v>
      </c>
      <c r="B760" s="3" t="str">
        <f>"1"</f>
        <v>1</v>
      </c>
      <c r="C760" s="3" t="str">
        <f>"詠歌大概抄 / [細川幽斎] ; 1-3 - 3.-- 風月庄左衞門尉; 寛文8(1668)年10月刊."</f>
        <v>詠歌大概抄 / [細川幽斎] ; 1-3 - 3.-- 風月庄左衞門尉; 寛文8(1668)年10月刊.</v>
      </c>
    </row>
    <row r="761" spans="1:3" ht="11.25">
      <c r="A761" s="3" t="str">
        <f>"911.1/29/2/MASAOKA"</f>
        <v>911.1/29/2/MASAOKA</v>
      </c>
      <c r="B761" s="3" t="str">
        <f>"2"</f>
        <v>2</v>
      </c>
      <c r="C761" s="3" t="str">
        <f>"詠歌大概抄 / [細川幽斎] ; 1-3 - 3.-- 風月庄左衞門尉; 寛文8(1668)年10月刊."</f>
        <v>詠歌大概抄 / [細川幽斎] ; 1-3 - 3.-- 風月庄左衞門尉; 寛文8(1668)年10月刊.</v>
      </c>
    </row>
    <row r="762" spans="1:3" ht="11.25">
      <c r="A762" s="3" t="str">
        <f>"911.1/29/3/MASAOKA"</f>
        <v>911.1/29/3/MASAOKA</v>
      </c>
      <c r="B762" s="3" t="str">
        <f>"3"</f>
        <v>3</v>
      </c>
      <c r="C762" s="3" t="str">
        <f>"詠歌大概抄 / [細川幽斎] ; 1-3 - 3.-- 風月庄左衞門尉; 寛文8(1668)年10月刊."</f>
        <v>詠歌大概抄 / [細川幽斎] ; 1-3 - 3.-- 風月庄左衞門尉; 寛文8(1668)年10月刊.</v>
      </c>
    </row>
    <row r="763" spans="1:3" ht="11.25">
      <c r="A763" s="3" t="str">
        <f>"911.1/30//MASAOKA"</f>
        <v>911.1/30//MASAOKA</v>
      </c>
      <c r="B763" s="3">
        <f>""</f>
      </c>
      <c r="C763" s="3" t="str">
        <f>"蔵笥百首 / 藤井懶斎,真鍋忠庵.-- [出版者不明]; [出版年不明]."</f>
        <v>蔵笥百首 / 藤井懶斎,真鍋忠庵.-- [出版者不明]; [出版年不明].</v>
      </c>
    </row>
    <row r="764" spans="1:3" ht="11.25">
      <c r="A764" s="3" t="str">
        <f>"911.1/31//MASAOKA"</f>
        <v>911.1/31//MASAOKA</v>
      </c>
      <c r="B764" s="3">
        <f>""</f>
      </c>
      <c r="C764" s="3" t="str">
        <f>"桂園一枝拾遺 / 香川景樹[詠].-- 合刻.-- 出雲寺文治郎[ほか3軒]; 嘉永4(1851)年3月刊."</f>
        <v>桂園一枝拾遺 / 香川景樹[詠].-- 合刻.-- 出雲寺文治郎[ほか3軒]; 嘉永4(1851)年3月刊.</v>
      </c>
    </row>
    <row r="765" spans="1:3" ht="11.25">
      <c r="A765" s="3" t="str">
        <f>"911.1/32/1/MASAOKA"</f>
        <v>911.1/32/1/MASAOKA</v>
      </c>
      <c r="B765" s="3" t="str">
        <f>"1"</f>
        <v>1</v>
      </c>
      <c r="C765" s="3" t="str">
        <f aca="true" t="shared" si="23" ref="C765:C771">"和歌八重垣 / [有賀長伯著] ; 1-7 - 7.-- 若山市郎兵衛[ほか1軒]; 明和5(1768)年5月刊."</f>
        <v>和歌八重垣 / [有賀長伯著] ; 1-7 - 7.-- 若山市郎兵衛[ほか1軒]; 明和5(1768)年5月刊.</v>
      </c>
    </row>
    <row r="766" spans="1:3" ht="11.25">
      <c r="A766" s="3" t="str">
        <f>"911.1/32/2/MASAOKA"</f>
        <v>911.1/32/2/MASAOKA</v>
      </c>
      <c r="B766" s="3" t="str">
        <f>"2"</f>
        <v>2</v>
      </c>
      <c r="C766" s="3" t="str">
        <f t="shared" si="23"/>
        <v>和歌八重垣 / [有賀長伯著] ; 1-7 - 7.-- 若山市郎兵衛[ほか1軒]; 明和5(1768)年5月刊.</v>
      </c>
    </row>
    <row r="767" spans="1:3" ht="11.25">
      <c r="A767" s="3" t="str">
        <f>"911.1/32/3/MASAOKA"</f>
        <v>911.1/32/3/MASAOKA</v>
      </c>
      <c r="B767" s="3" t="str">
        <f>"3"</f>
        <v>3</v>
      </c>
      <c r="C767" s="3" t="str">
        <f t="shared" si="23"/>
        <v>和歌八重垣 / [有賀長伯著] ; 1-7 - 7.-- 若山市郎兵衛[ほか1軒]; 明和5(1768)年5月刊.</v>
      </c>
    </row>
    <row r="768" spans="1:3" ht="11.25">
      <c r="A768" s="3" t="str">
        <f>"911.1/32/4/MASAOKA"</f>
        <v>911.1/32/4/MASAOKA</v>
      </c>
      <c r="B768" s="3" t="str">
        <f>"4"</f>
        <v>4</v>
      </c>
      <c r="C768" s="3" t="str">
        <f t="shared" si="23"/>
        <v>和歌八重垣 / [有賀長伯著] ; 1-7 - 7.-- 若山市郎兵衛[ほか1軒]; 明和5(1768)年5月刊.</v>
      </c>
    </row>
    <row r="769" spans="1:3" ht="11.25">
      <c r="A769" s="3" t="str">
        <f>"911.1/32/5/MASAOKA"</f>
        <v>911.1/32/5/MASAOKA</v>
      </c>
      <c r="B769" s="3" t="str">
        <f>"5"</f>
        <v>5</v>
      </c>
      <c r="C769" s="3" t="str">
        <f t="shared" si="23"/>
        <v>和歌八重垣 / [有賀長伯著] ; 1-7 - 7.-- 若山市郎兵衛[ほか1軒]; 明和5(1768)年5月刊.</v>
      </c>
    </row>
    <row r="770" spans="1:3" ht="11.25">
      <c r="A770" s="3" t="str">
        <f>"911.1/32/6/MASAOKA"</f>
        <v>911.1/32/6/MASAOKA</v>
      </c>
      <c r="B770" s="3" t="str">
        <f>"6"</f>
        <v>6</v>
      </c>
      <c r="C770" s="3" t="str">
        <f t="shared" si="23"/>
        <v>和歌八重垣 / [有賀長伯著] ; 1-7 - 7.-- 若山市郎兵衛[ほか1軒]; 明和5(1768)年5月刊.</v>
      </c>
    </row>
    <row r="771" spans="1:3" ht="11.25">
      <c r="A771" s="3" t="str">
        <f>"911.1/32/7/MASAOKA"</f>
        <v>911.1/32/7/MASAOKA</v>
      </c>
      <c r="B771" s="3" t="str">
        <f>"7"</f>
        <v>7</v>
      </c>
      <c r="C771" s="3" t="str">
        <f t="shared" si="23"/>
        <v>和歌八重垣 / [有賀長伯著] ; 1-7 - 7.-- 若山市郎兵衛[ほか1軒]; 明和5(1768)年5月刊.</v>
      </c>
    </row>
    <row r="772" spans="1:3" ht="11.25">
      <c r="A772" s="3" t="str">
        <f>"911.1/33/1/MASAOKA"</f>
        <v>911.1/33/1/MASAOKA</v>
      </c>
      <c r="B772" s="3" t="str">
        <f>"上"</f>
        <v>上</v>
      </c>
      <c r="C772" s="3" t="str">
        <f>"橘千蔭翁歌集 / [加藤千蔭(橘千蔭)] ; 上・下, 上, 下.-- 須原屋佐助; [嘉永4(1851)年刊]."</f>
        <v>橘千蔭翁歌集 / [加藤千蔭(橘千蔭)] ; 上・下, 上, 下.-- 須原屋佐助; [嘉永4(1851)年刊].</v>
      </c>
    </row>
    <row r="773" spans="1:3" ht="11.25">
      <c r="A773" s="3" t="str">
        <f>"911.1/33/2/MASAOKA"</f>
        <v>911.1/33/2/MASAOKA</v>
      </c>
      <c r="B773" s="3" t="str">
        <f>"下"</f>
        <v>下</v>
      </c>
      <c r="C773" s="3" t="str">
        <f>"橘千蔭翁歌集 / [加藤千蔭(橘千蔭)] ; 上・下, 上, 下.-- 須原屋佐助; [嘉永4(1851)年刊]."</f>
        <v>橘千蔭翁歌集 / [加藤千蔭(橘千蔭)] ; 上・下, 上, 下.-- 須原屋佐助; [嘉永4(1851)年刊].</v>
      </c>
    </row>
    <row r="774" spans="1:3" ht="11.25">
      <c r="A774" s="3" t="str">
        <f>"911.1/34//MASAOKA"</f>
        <v>911.1/34//MASAOKA</v>
      </c>
      <c r="B774" s="3">
        <f>""</f>
      </c>
      <c r="C774" s="3" t="str">
        <f>"列女百人一首 / 緑亭川柳輯 ; 完.-- 山口屋藤兵衛; 弘化4(1847)年1月刊."</f>
        <v>列女百人一首 / 緑亭川柳輯 ; 完.-- 山口屋藤兵衛; 弘化4(1847)年1月刊.</v>
      </c>
    </row>
    <row r="775" spans="1:3" ht="11.25">
      <c r="A775" s="3" t="str">
        <f>"911.1/35//MASAOKA"</f>
        <v>911.1/35//MASAOKA</v>
      </c>
      <c r="B775" s="3">
        <f>""</f>
      </c>
      <c r="C775" s="3" t="str">
        <f>"草庵和歌集類題 / [蜂谷又玄編].-- [出版者不明]; [元禄8(1695)年刊]."</f>
        <v>草庵和歌集類題 / [蜂谷又玄編].-- [出版者不明]; [元禄8(1695)年刊].</v>
      </c>
    </row>
    <row r="776" spans="1:3" ht="11.25">
      <c r="A776" s="3" t="str">
        <f>"911.1/36//MASAOKA"</f>
        <v>911.1/36//MASAOKA</v>
      </c>
      <c r="B776" s="3">
        <f>""</f>
      </c>
      <c r="C776" s="3" t="str">
        <f>"古今選 / 正岡子規自筆.-- [製作者不明]; [製作年不明]."</f>
        <v>古今選 / 正岡子規自筆.-- [製作者不明]; [製作年不明].</v>
      </c>
    </row>
    <row r="777" spans="1:3" ht="11.25">
      <c r="A777" s="3" t="str">
        <f>"911.1/37//MASAOKA"</f>
        <v>911.1/37//MASAOKA</v>
      </c>
      <c r="B777" s="3">
        <f>""</f>
      </c>
      <c r="C777" s="3" t="str">
        <f>"定家卿未来記雨中吟他五書 / 伝藤原定家.-- [製作者不明]; [製作年不明]."</f>
        <v>定家卿未来記雨中吟他五書 / 伝藤原定家.-- [製作者不明]; [製作年不明].</v>
      </c>
    </row>
    <row r="778" spans="1:3" ht="11.25">
      <c r="A778" s="3" t="str">
        <f>"911.1/38//MASAOKA"</f>
        <v>911.1/38//MASAOKA</v>
      </c>
      <c r="B778" s="3">
        <f>""</f>
      </c>
      <c r="C778" s="3" t="str">
        <f>"和漢朗詠集 / 藤原公任[撰],[松尾芭蕉真跡].-- 竹心りう和; 慶応2(1866)年10月."</f>
        <v>和漢朗詠集 / 藤原公任[撰],[松尾芭蕉真跡].-- 竹心りう和; 慶応2(1866)年10月.</v>
      </c>
    </row>
    <row r="779" spans="1:3" ht="11.25">
      <c r="A779" s="3" t="str">
        <f>"911.1/39/3/MASAOKA"</f>
        <v>911.1/39/3/MASAOKA</v>
      </c>
      <c r="B779" s="3" t="str">
        <f>"第3編"</f>
        <v>第3編</v>
      </c>
      <c r="C779" s="3" t="str">
        <f>"万葉集略解 / 橘千陰著 ; 第3編.-- 図書出版会社; 明治24(1891)年10月."</f>
        <v>万葉集略解 / 橘千陰著 ; 第3編.-- 図書出版会社; 明治24(1891)年10月.</v>
      </c>
    </row>
    <row r="780" spans="1:3" ht="11.25">
      <c r="A780" s="3" t="str">
        <f>"911.1/40/1/MASAOKA"</f>
        <v>911.1/40/1/MASAOKA</v>
      </c>
      <c r="B780" s="3" t="str">
        <f>"1巻"</f>
        <v>1巻</v>
      </c>
      <c r="C780" s="3" t="str">
        <f aca="true" t="shared" si="24" ref="C780:C785">"万葉考 / 賀茂真淵著 ; 1-6巻 - 6巻.-- [黒生]; 明和5(1768)年11月刊."</f>
        <v>万葉考 / 賀茂真淵著 ; 1-6巻 - 6巻.-- [黒生]; 明和5(1768)年11月刊.</v>
      </c>
    </row>
    <row r="781" spans="1:3" ht="11.25">
      <c r="A781" s="3" t="str">
        <f>"911.1/40/2/MASAOKA"</f>
        <v>911.1/40/2/MASAOKA</v>
      </c>
      <c r="B781" s="3" t="str">
        <f>"2巻"</f>
        <v>2巻</v>
      </c>
      <c r="C781" s="3" t="str">
        <f t="shared" si="24"/>
        <v>万葉考 / 賀茂真淵著 ; 1-6巻 - 6巻.-- [黒生]; 明和5(1768)年11月刊.</v>
      </c>
    </row>
    <row r="782" spans="1:3" ht="11.25">
      <c r="A782" s="3" t="str">
        <f>"911.1/40/3/MASAOKA"</f>
        <v>911.1/40/3/MASAOKA</v>
      </c>
      <c r="B782" s="3" t="str">
        <f>"3巻"</f>
        <v>3巻</v>
      </c>
      <c r="C782" s="3" t="str">
        <f t="shared" si="24"/>
        <v>万葉考 / 賀茂真淵著 ; 1-6巻 - 6巻.-- [黒生]; 明和5(1768)年11月刊.</v>
      </c>
    </row>
    <row r="783" spans="1:3" ht="11.25">
      <c r="A783" s="3" t="str">
        <f>"911.1/40/4/MASAOKA"</f>
        <v>911.1/40/4/MASAOKA</v>
      </c>
      <c r="B783" s="3" t="str">
        <f>"4巻"</f>
        <v>4巻</v>
      </c>
      <c r="C783" s="3" t="str">
        <f t="shared" si="24"/>
        <v>万葉考 / 賀茂真淵著 ; 1-6巻 - 6巻.-- [黒生]; 明和5(1768)年11月刊.</v>
      </c>
    </row>
    <row r="784" spans="1:3" ht="11.25">
      <c r="A784" s="3" t="str">
        <f>"911.1/40/5/MASAOKA"</f>
        <v>911.1/40/5/MASAOKA</v>
      </c>
      <c r="B784" s="3" t="str">
        <f>"5巻"</f>
        <v>5巻</v>
      </c>
      <c r="C784" s="3" t="str">
        <f t="shared" si="24"/>
        <v>万葉考 / 賀茂真淵著 ; 1-6巻 - 6巻.-- [黒生]; 明和5(1768)年11月刊.</v>
      </c>
    </row>
    <row r="785" spans="1:3" ht="11.25">
      <c r="A785" s="3" t="str">
        <f>"911.1/40/6/MASAOKA"</f>
        <v>911.1/40/6/MASAOKA</v>
      </c>
      <c r="B785" s="3" t="str">
        <f>"6巻"</f>
        <v>6巻</v>
      </c>
      <c r="C785" s="3" t="str">
        <f t="shared" si="24"/>
        <v>万葉考 / 賀茂真淵著 ; 1-6巻 - 6巻.-- [黒生]; 明和5(1768)年11月刊.</v>
      </c>
    </row>
    <row r="786" spans="1:3" ht="11.25">
      <c r="A786" s="3" t="str">
        <f>"911.1/41//MASAOKA"</f>
        <v>911.1/41//MASAOKA</v>
      </c>
      <c r="B786" s="3" t="str">
        <f>"全"</f>
        <v>全</v>
      </c>
      <c r="C786" s="3" t="str">
        <f>"貞操節義古今名婦百首 / 児玉永成編 ; 全.-- 大倉書房; 明治14(1881)年12月."</f>
        <v>貞操節義古今名婦百首 / 児玉永成編 ; 全.-- 大倉書房; 明治14(1881)年12月.</v>
      </c>
    </row>
    <row r="787" spans="1:3" ht="11.25">
      <c r="A787" s="3" t="str">
        <f>"911.1/42/1/MASAOKA"</f>
        <v>911.1/42/1/MASAOKA</v>
      </c>
      <c r="B787" s="3" t="str">
        <f>"上"</f>
        <v>上</v>
      </c>
      <c r="C787" s="3" t="str">
        <f>"類題明治和歌集 / 朝比奈泰吉[撰] ; 上・下, 上, 下.-- 江島喜兵衛[ほか7軒]; [明治13(1880)年5月]."</f>
        <v>類題明治和歌集 / 朝比奈泰吉[撰] ; 上・下, 上, 下.-- 江島喜兵衛[ほか7軒]; [明治13(1880)年5月].</v>
      </c>
    </row>
    <row r="788" spans="1:3" ht="11.25">
      <c r="A788" s="3" t="str">
        <f>"911.1/42/2/MASAOKA"</f>
        <v>911.1/42/2/MASAOKA</v>
      </c>
      <c r="B788" s="3" t="str">
        <f>"下"</f>
        <v>下</v>
      </c>
      <c r="C788" s="3" t="str">
        <f>"類題明治和歌集 / 朝比奈泰吉[撰] ; 上・下, 上, 下.-- 江島喜兵衛[ほか7軒]; [明治13(1880)年5月]."</f>
        <v>類題明治和歌集 / 朝比奈泰吉[撰] ; 上・下, 上, 下.-- 江島喜兵衛[ほか7軒]; [明治13(1880)年5月].</v>
      </c>
    </row>
    <row r="789" spans="1:3" ht="11.25">
      <c r="A789" s="3" t="str">
        <f>"911.1/43/1/MASAOKA"</f>
        <v>911.1/43/1/MASAOKA</v>
      </c>
      <c r="B789" s="3" t="str">
        <f>"巻1"</f>
        <v>巻1</v>
      </c>
      <c r="C789" s="3" t="str">
        <f>"万葉集代匠記 / 三好仲雄編 ; 巻1-4,6 - 巻6.-- 四海堂; 明治33(1900)年8月-明治34(1901)年8月."</f>
        <v>万葉集代匠記 / 三好仲雄編 ; 巻1-4,6 - 巻6.-- 四海堂; 明治33(1900)年8月-明治34(1901)年8月.</v>
      </c>
    </row>
    <row r="790" spans="1:3" ht="11.25">
      <c r="A790" s="3" t="str">
        <f>"911.1/43/2/MASAOKA"</f>
        <v>911.1/43/2/MASAOKA</v>
      </c>
      <c r="B790" s="3" t="str">
        <f>"巻2"</f>
        <v>巻2</v>
      </c>
      <c r="C790" s="3" t="str">
        <f>"万葉集代匠記 / 三好仲雄編 ; 巻1-4,6 - 巻6.-- 四海堂; 明治33(1900)年8月-明治34(1901)年8月."</f>
        <v>万葉集代匠記 / 三好仲雄編 ; 巻1-4,6 - 巻6.-- 四海堂; 明治33(1900)年8月-明治34(1901)年8月.</v>
      </c>
    </row>
    <row r="791" spans="1:3" ht="11.25">
      <c r="A791" s="3" t="str">
        <f>"911.1/43/3/MASAOKA"</f>
        <v>911.1/43/3/MASAOKA</v>
      </c>
      <c r="B791" s="3" t="str">
        <f>"巻3"</f>
        <v>巻3</v>
      </c>
      <c r="C791" s="3" t="str">
        <f>"万葉集代匠記 / 三好仲雄編 ; 巻1-4,6 - 巻6.-- 四海堂; 明治33(1900)年8月-明治34(1901)年8月."</f>
        <v>万葉集代匠記 / 三好仲雄編 ; 巻1-4,6 - 巻6.-- 四海堂; 明治33(1900)年8月-明治34(1901)年8月.</v>
      </c>
    </row>
    <row r="792" spans="1:3" ht="11.25">
      <c r="A792" s="3" t="str">
        <f>"911.1/43/4/MASAOKA"</f>
        <v>911.1/43/4/MASAOKA</v>
      </c>
      <c r="B792" s="3" t="str">
        <f>"巻4"</f>
        <v>巻4</v>
      </c>
      <c r="C792" s="3" t="str">
        <f>"万葉集代匠記 / 三好仲雄編 ; 巻1-4,6 - 巻6.-- 四海堂; 明治33(1900)年8月-明治34(1901)年8月."</f>
        <v>万葉集代匠記 / 三好仲雄編 ; 巻1-4,6 - 巻6.-- 四海堂; 明治33(1900)年8月-明治34(1901)年8月.</v>
      </c>
    </row>
    <row r="793" spans="1:3" ht="11.25">
      <c r="A793" s="3" t="str">
        <f>"911.1/43/6/MASAOKA"</f>
        <v>911.1/43/6/MASAOKA</v>
      </c>
      <c r="B793" s="3" t="str">
        <f>"巻6"</f>
        <v>巻6</v>
      </c>
      <c r="C793" s="3" t="str">
        <f>"万葉集代匠記 / 三好仲雄編 ; 巻1-4,6 - 巻6.-- 四海堂; 明治33(1900)年8月-明治34(1901)年8月."</f>
        <v>万葉集代匠記 / 三好仲雄編 ; 巻1-4,6 - 巻6.-- 四海堂; 明治33(1900)年8月-明治34(1901)年8月.</v>
      </c>
    </row>
    <row r="794" spans="1:3" ht="11.25">
      <c r="A794" s="3" t="str">
        <f>"911.1/44//MASAOKA"</f>
        <v>911.1/44//MASAOKA</v>
      </c>
      <c r="B794" s="3">
        <f>""</f>
      </c>
      <c r="C794" s="3" t="str">
        <f>"万葉集代匠記惣釈 / 三好仲雄編.-- 四海堂; 明治33(1900)年8月."</f>
        <v>万葉集代匠記惣釈 / 三好仲雄編.-- 四海堂; 明治33(1900)年8月.</v>
      </c>
    </row>
    <row r="795" spans="1:3" ht="11.25">
      <c r="A795" s="3" t="str">
        <f>"911.1/45//MASAOKA"</f>
        <v>911.1/45//MASAOKA</v>
      </c>
      <c r="B795" s="3">
        <f>""</f>
      </c>
      <c r="C795" s="3" t="str">
        <f>"いほへなみ / 本間游清撰 ; 全.-- 伊勢屋忠右衛門; [文政2(1819)年2月成立]."</f>
        <v>いほへなみ / 本間游清撰 ; 全.-- 伊勢屋忠右衛門; [文政2(1819)年2月成立].</v>
      </c>
    </row>
    <row r="796" spans="1:3" ht="11.25">
      <c r="A796" s="3" t="str">
        <f>"911.1/46//MASAOKA"</f>
        <v>911.1/46//MASAOKA</v>
      </c>
      <c r="B796" s="3">
        <f>""</f>
      </c>
      <c r="C796" s="3" t="str">
        <f>"訂正増評金槐集 / 森与重編.-- 森与重; 明治32(1899)年5月."</f>
        <v>訂正増評金槐集 / 森与重編.-- 森与重; 明治32(1899)年5月.</v>
      </c>
    </row>
    <row r="797" spans="1:3" ht="11.25">
      <c r="A797" s="3" t="str">
        <f>"911.1/47//MASAOKA"</f>
        <v>911.1/47//MASAOKA</v>
      </c>
      <c r="B797" s="3">
        <f>""</f>
      </c>
      <c r="C797" s="3" t="str">
        <f>"手向草 / [本居宣長編].-- 田中道麻呂; [天明2(1782)年刊]."</f>
        <v>手向草 / [本居宣長編].-- 田中道麻呂; [天明2(1782)年刊].</v>
      </c>
    </row>
    <row r="798" spans="1:3" ht="11.25">
      <c r="A798" s="3" t="str">
        <f>"911.1/48/1/MASAOKA"</f>
        <v>911.1/48/1/MASAOKA</v>
      </c>
      <c r="B798" s="3" t="str">
        <f>"1"</f>
        <v>1</v>
      </c>
      <c r="C798" s="3" t="str">
        <f>"改正増補麓の塵 / 有賀長伯編 ; 1-4 - 4.-- 柳原喜兵衛; 明治14(1881)年1月."</f>
        <v>改正増補麓の塵 / 有賀長伯編 ; 1-4 - 4.-- 柳原喜兵衛; 明治14(1881)年1月.</v>
      </c>
    </row>
    <row r="799" spans="1:3" ht="11.25">
      <c r="A799" s="3" t="str">
        <f>"911.1/48/2/MASAOKA"</f>
        <v>911.1/48/2/MASAOKA</v>
      </c>
      <c r="B799" s="3" t="str">
        <f>"2"</f>
        <v>2</v>
      </c>
      <c r="C799" s="3" t="str">
        <f>"改正増補麓の塵 / 有賀長伯編 ; 1-4 - 4.-- 柳原喜兵衛; 明治14(1881)年1月."</f>
        <v>改正増補麓の塵 / 有賀長伯編 ; 1-4 - 4.-- 柳原喜兵衛; 明治14(1881)年1月.</v>
      </c>
    </row>
    <row r="800" spans="1:3" ht="11.25">
      <c r="A800" s="3" t="str">
        <f>"911.1/48/3/MASAOKA"</f>
        <v>911.1/48/3/MASAOKA</v>
      </c>
      <c r="B800" s="3" t="str">
        <f>"3"</f>
        <v>3</v>
      </c>
      <c r="C800" s="3" t="str">
        <f>"改正増補麓の塵 / 有賀長伯編 ; 1-4 - 4.-- 柳原喜兵衛; 明治14(1881)年1月."</f>
        <v>改正増補麓の塵 / 有賀長伯編 ; 1-4 - 4.-- 柳原喜兵衛; 明治14(1881)年1月.</v>
      </c>
    </row>
    <row r="801" spans="1:3" ht="11.25">
      <c r="A801" s="3" t="str">
        <f>"911.1/48/4/MASAOKA"</f>
        <v>911.1/48/4/MASAOKA</v>
      </c>
      <c r="B801" s="3" t="str">
        <f>"4"</f>
        <v>4</v>
      </c>
      <c r="C801" s="3" t="str">
        <f>"改正増補麓の塵 / 有賀長伯編 ; 1-4 - 4.-- 柳原喜兵衛; 明治14(1881)年1月."</f>
        <v>改正増補麓の塵 / 有賀長伯編 ; 1-4 - 4.-- 柳原喜兵衛; 明治14(1881)年1月.</v>
      </c>
    </row>
    <row r="802" spans="1:3" ht="11.25">
      <c r="A802" s="3" t="str">
        <f>"911.1/49//MASAOKA"</f>
        <v>911.1/49//MASAOKA</v>
      </c>
      <c r="B802" s="3">
        <f>""</f>
      </c>
      <c r="C802" s="3" t="str">
        <f>"僧良寛歌集 / 村山恒二郎編輯.-- 小林二郎; 1879.3."</f>
        <v>僧良寛歌集 / 村山恒二郎編輯.-- 小林二郎; 1879.3.</v>
      </c>
    </row>
    <row r="803" spans="1:3" ht="11.25">
      <c r="A803" s="3" t="str">
        <f>"911.19/1//MASAOKA"</f>
        <v>911.19/1//MASAOKA</v>
      </c>
      <c r="B803" s="3">
        <f>""</f>
      </c>
      <c r="C803" s="3" t="str">
        <f>"狂歌扶桑集 / [西来居未仏編].-- [出版者不明]; [天保年間]."</f>
        <v>狂歌扶桑集 / [西来居未仏編].-- [出版者不明]; [天保年間].</v>
      </c>
    </row>
    <row r="804" spans="1:3" ht="11.25">
      <c r="A804" s="3" t="str">
        <f>"911.19/2//MASAOKA"</f>
        <v>911.19/2//MASAOKA</v>
      </c>
      <c r="B804" s="3">
        <f>""</f>
      </c>
      <c r="C804" s="3" t="str">
        <f>"狂歌吉原形四季細見 / 六樹園,浅草庵[ほか].-- 花笠連; 文政8(1825)年冬刊."</f>
        <v>狂歌吉原形四季細見 / 六樹園,浅草庵[ほか].-- 花笠連; 文政8(1825)年冬刊.</v>
      </c>
    </row>
    <row r="805" spans="1:3" ht="11.25">
      <c r="A805" s="3" t="str">
        <f>"911.19/3//MASAOKA"</f>
        <v>911.19/3//MASAOKA</v>
      </c>
      <c r="B805" s="3">
        <f>""</f>
      </c>
      <c r="C805" s="3" t="str">
        <f>"狂歌集 / 六樹園撰.-- [出版者不明]; [出版年不明]."</f>
        <v>狂歌集 / 六樹園撰.-- [出版者不明]; [出版年不明].</v>
      </c>
    </row>
    <row r="806" spans="1:3" ht="11.25">
      <c r="A806" s="3" t="str">
        <f>"911.19/4//MASAOKA"</f>
        <v>911.19/4//MASAOKA</v>
      </c>
      <c r="B806" s="3" t="str">
        <f>"[上]"</f>
        <v>[上]</v>
      </c>
      <c r="C806" s="3" t="str">
        <f>"狂歌集 / 六樹園撰 ; [上・下], [上], [下].-- [出版者不明]; [出版年不明]."</f>
        <v>狂歌集 / 六樹園撰 ; [上・下], [上], [下].-- [出版者不明]; [出版年不明].</v>
      </c>
    </row>
    <row r="807" spans="1:3" ht="11.25">
      <c r="A807" s="3" t="str">
        <f>"911.19/5//MASAOKA"</f>
        <v>911.19/5//MASAOKA</v>
      </c>
      <c r="B807" s="3" t="str">
        <f>"[下]"</f>
        <v>[下]</v>
      </c>
      <c r="C807" s="3" t="str">
        <f>"狂歌集 / 六樹園撰 ; [上・下], [上], [下].-- [出版者不明]; [出版年不明]."</f>
        <v>狂歌集 / 六樹園撰 ; [上・下], [上], [下].-- [出版者不明]; [出版年不明].</v>
      </c>
    </row>
    <row r="808" spans="1:3" ht="11.25">
      <c r="A808" s="3" t="str">
        <f>"911.19/6//MASAOKA"</f>
        <v>911.19/6//MASAOKA</v>
      </c>
      <c r="B808" s="3">
        <f>""</f>
      </c>
      <c r="C808" s="3" t="str">
        <f>"狂歌集まさきのつな / 六樹園[ほか]撰 蘭渓亭泉[ほか]輯.-- [出版者不明]; 文政3(1820)年序."</f>
        <v>狂歌集まさきのつな / 六樹園[ほか]撰 蘭渓亭泉[ほか]輯.-- [出版者不明]; 文政3(1820)年序.</v>
      </c>
    </row>
    <row r="809" spans="1:3" ht="11.25">
      <c r="A809" s="3" t="str">
        <f>"911.19/7//MASAOKA"</f>
        <v>911.19/7//MASAOKA</v>
      </c>
      <c r="B809" s="3">
        <f>""</f>
      </c>
      <c r="C809" s="3" t="str">
        <f>"狂歌集江戸砂子 / 六樹園[ほか]撰.-- [出版者不明]; [出版年不明]."</f>
        <v>狂歌集江戸砂子 / 六樹園[ほか]撰.-- [出版者不明]; [出版年不明].</v>
      </c>
    </row>
    <row r="810" spans="1:3" ht="11.25">
      <c r="A810" s="3" t="str">
        <f>"911.19/8//MASAOKA"</f>
        <v>911.19/8//MASAOKA</v>
      </c>
      <c r="B810" s="3">
        <f>""</f>
      </c>
      <c r="C810" s="3" t="str">
        <f>"狂歌作者部類 / [著者不明].-- [出版者不明]; [出版年不明]."</f>
        <v>狂歌作者部類 / [著者不明].-- [出版者不明]; [出版年不明].</v>
      </c>
    </row>
    <row r="811" spans="1:3" ht="11.25">
      <c r="A811" s="3" t="str">
        <f>"911.19/9//MASAOKA"</f>
        <v>911.19/9//MASAOKA</v>
      </c>
      <c r="B811" s="3" t="str">
        <f>"全"</f>
        <v>全</v>
      </c>
      <c r="C811" s="3" t="str">
        <f>"古今狂歌狂句集 / 蜃気楼主人撰 ; 全.-- 博文館; 明治24(1891)年7月.-- (東洋文芸全書 ; 第15編)."</f>
        <v>古今狂歌狂句集 / 蜃気楼主人撰 ; 全.-- 博文館; 明治24(1891)年7月.-- (東洋文芸全書 ; 第15編).</v>
      </c>
    </row>
    <row r="812" spans="1:3" ht="11.25">
      <c r="A812" s="3" t="str">
        <f>"911.19/10//MASAOKA"</f>
        <v>911.19/10//MASAOKA</v>
      </c>
      <c r="B812" s="3">
        <f>""</f>
      </c>
      <c r="C812" s="3" t="str">
        <f>"七十一番職人歌合 / [伝東坊城和長書 土佐光信画].-- 野田藤八郎; 延享1(1744)年."</f>
        <v>七十一番職人歌合 / [伝東坊城和長書 土佐光信画].-- 野田藤八郎; 延享1(1744)年.</v>
      </c>
    </row>
    <row r="813" spans="1:3" ht="11.25">
      <c r="A813" s="3" t="str">
        <f>"911.19/11//MASAOKA"</f>
        <v>911.19/11//MASAOKA</v>
      </c>
      <c r="B813" s="3" t="str">
        <f>"初編"</f>
        <v>初編</v>
      </c>
      <c r="C813" s="3" t="str">
        <f>"芍薬亭文集 / 芍薬亭長根 ; 初編.-- 栗花園総長; 天保5(1834)年6月刊."</f>
        <v>芍薬亭文集 / 芍薬亭長根 ; 初編.-- 栗花園総長; 天保5(1834)年6月刊.</v>
      </c>
    </row>
    <row r="814" spans="1:3" ht="11.25">
      <c r="A814" s="3" t="str">
        <f>"911.19/12//MASAOKA"</f>
        <v>911.19/12//MASAOKA</v>
      </c>
      <c r="B814" s="3" t="str">
        <f>"全"</f>
        <v>全</v>
      </c>
      <c r="C814" s="3" t="str">
        <f>"千紅万紫 / 蜀山人著 ; 全.-- 岡田屋嘉七; [文化14(1817)年春成立]."</f>
        <v>千紅万紫 / 蜀山人著 ; 全.-- 岡田屋嘉七; [文化14(1817)年春成立].</v>
      </c>
    </row>
    <row r="815" spans="1:3" ht="11.25">
      <c r="A815" s="3" t="str">
        <f>"911.19/13/1/MASAOKA"</f>
        <v>911.19/13/1/MASAOKA</v>
      </c>
      <c r="B815" s="3" t="str">
        <f>"上"</f>
        <v>上</v>
      </c>
      <c r="C815" s="3" t="str">
        <f>"江戸職人歌合 / [石原正明著] ; 上・下, 上, 下.-- 永楽屋東四郎; 文化5(1808)年5月序."</f>
        <v>江戸職人歌合 / [石原正明著] ; 上・下, 上, 下.-- 永楽屋東四郎; 文化5(1808)年5月序.</v>
      </c>
    </row>
    <row r="816" spans="1:3" ht="11.25">
      <c r="A816" s="3" t="str">
        <f>"911.19/13/2/MASAOKA"</f>
        <v>911.19/13/2/MASAOKA</v>
      </c>
      <c r="B816" s="3" t="str">
        <f>"下"</f>
        <v>下</v>
      </c>
      <c r="C816" s="3" t="str">
        <f>"江戸職人歌合 / [石原正明著] ; 上・下, 上, 下.-- 永楽屋東四郎; 文化5(1808)年5月序."</f>
        <v>江戸職人歌合 / [石原正明著] ; 上・下, 上, 下.-- 永楽屋東四郎; 文化5(1808)年5月序.</v>
      </c>
    </row>
    <row r="817" spans="1:3" ht="11.25">
      <c r="A817" s="3" t="str">
        <f>"911.2/1//MASAOKA"</f>
        <v>911.2/1//MASAOKA</v>
      </c>
      <c r="B817" s="3">
        <f>""</f>
      </c>
      <c r="C817" s="3" t="str">
        <f>"連歌至要鈔 / [著者不明].-- 金屋平兵衛; 元禄12(1699)年1月刊."</f>
        <v>連歌至要鈔 / [著者不明].-- 金屋平兵衛; 元禄12(1699)年1月刊.</v>
      </c>
    </row>
    <row r="818" spans="1:3" ht="11.25">
      <c r="A818" s="3" t="str">
        <f>"911.2/2//MASAOKA"</f>
        <v>911.2/2//MASAOKA</v>
      </c>
      <c r="B818" s="3">
        <f>""</f>
      </c>
      <c r="C818" s="3" t="str">
        <f>"連歌雨夜記 / 宗長著.-- 三ケ屋五郎兵衛; 元禄10(1697)年9月刊."</f>
        <v>連歌雨夜記 / 宗長著.-- 三ケ屋五郎兵衛; 元禄10(1697)年9月刊.</v>
      </c>
    </row>
    <row r="819" spans="1:3" ht="11.25">
      <c r="A819" s="3" t="str">
        <f>"911.2/3//MASAOKA"</f>
        <v>911.2/3//MASAOKA</v>
      </c>
      <c r="B819" s="3">
        <f>""</f>
      </c>
      <c r="C819" s="3" t="str">
        <f>"連歌百談 / 白雲堂無相著 ; 全.-- [出版者不明]; 文政3(1820)年1月刊."</f>
        <v>連歌百談 / 白雲堂無相著 ; 全.-- [出版者不明]; 文政3(1820)年1月刊.</v>
      </c>
    </row>
    <row r="820" spans="1:3" ht="11.25">
      <c r="A820" s="3" t="str">
        <f>"911.2/4/1/MASAOKA"</f>
        <v>911.2/4/1/MASAOKA</v>
      </c>
      <c r="B820" s="3" t="str">
        <f>"前編 全"</f>
        <v>前編 全</v>
      </c>
      <c r="C820" s="3" t="str">
        <f>"連歌茶談 / 白雲堂無相著 ; 前編 全 - 残編 全.-- [出版者不明]; 文政4-7(1821-1824)年刊."</f>
        <v>連歌茶談 / 白雲堂無相著 ; 前編 全 - 残編 全.-- [出版者不明]; 文政4-7(1821-1824)年刊.</v>
      </c>
    </row>
    <row r="821" spans="1:3" ht="11.25">
      <c r="A821" s="3" t="str">
        <f>"911.2/4/2/MASAOKA"</f>
        <v>911.2/4/2/MASAOKA</v>
      </c>
      <c r="B821" s="3" t="str">
        <f>"後編 全"</f>
        <v>後編 全</v>
      </c>
      <c r="C821" s="3" t="str">
        <f>"連歌茶談 / 白雲堂無相著 ; 前編 全 - 残編 全.-- [出版者不明]; 文政4-7(1821-1824)年刊."</f>
        <v>連歌茶談 / 白雲堂無相著 ; 前編 全 - 残編 全.-- [出版者不明]; 文政4-7(1821-1824)年刊.</v>
      </c>
    </row>
    <row r="822" spans="1:3" ht="11.25">
      <c r="A822" s="3" t="str">
        <f>"911.2/4/3/MASAOKA"</f>
        <v>911.2/4/3/MASAOKA</v>
      </c>
      <c r="B822" s="3" t="str">
        <f>"続編 全"</f>
        <v>続編 全</v>
      </c>
      <c r="C822" s="3" t="str">
        <f>"連歌茶談 / 白雲堂無相著 ; 前編 全 - 残編 全.-- [出版者不明]; 文政4-7(1821-1824)年刊."</f>
        <v>連歌茶談 / 白雲堂無相著 ; 前編 全 - 残編 全.-- [出版者不明]; 文政4-7(1821-1824)年刊.</v>
      </c>
    </row>
    <row r="823" spans="1:3" ht="11.25">
      <c r="A823" s="3" t="str">
        <f>"911.2/4/4/MASAOKA"</f>
        <v>911.2/4/4/MASAOKA</v>
      </c>
      <c r="B823" s="3" t="str">
        <f>"残編 全"</f>
        <v>残編 全</v>
      </c>
      <c r="C823" s="3" t="str">
        <f>"連歌茶談 / 白雲堂無相著 ; 前編 全 - 残編 全.-- [出版者不明]; 文政4-7(1821-1824)年刊."</f>
        <v>連歌茶談 / 白雲堂無相著 ; 前編 全 - 残編 全.-- [出版者不明]; 文政4-7(1821-1824)年刊.</v>
      </c>
    </row>
    <row r="824" spans="1:3" ht="11.25">
      <c r="A824" s="3" t="str">
        <f>"911.2/5/1a/MASAOKA"</f>
        <v>911.2/5/1a/MASAOKA</v>
      </c>
      <c r="B824" s="3" t="str">
        <f>"上ノ本"</f>
        <v>上ノ本</v>
      </c>
      <c r="C824" s="3" t="str">
        <f>"老葉 / 宗祇著,自註,宗長註,観明軒能順編 ; 上ノ本 - 下ノ末.-- 唐本屋八郎兵衛; 宝永1(1704)年4月跋刊."</f>
        <v>老葉 / 宗祇著,自註,宗長註,観明軒能順編 ; 上ノ本 - 下ノ末.-- 唐本屋八郎兵衛; 宝永1(1704)年4月跋刊.</v>
      </c>
    </row>
    <row r="825" spans="1:3" ht="11.25">
      <c r="A825" s="3" t="str">
        <f>"911.2/5/1b/MASAOKA"</f>
        <v>911.2/5/1b/MASAOKA</v>
      </c>
      <c r="B825" s="3" t="str">
        <f>"上ノ末"</f>
        <v>上ノ末</v>
      </c>
      <c r="C825" s="3" t="str">
        <f>"老葉 / 宗祇著,自註,宗長註,観明軒能順編 ; 上ノ本 - 下ノ末.-- 唐本屋八郎兵衛; 宝永1(1704)年4月跋刊."</f>
        <v>老葉 / 宗祇著,自註,宗長註,観明軒能順編 ; 上ノ本 - 下ノ末.-- 唐本屋八郎兵衛; 宝永1(1704)年4月跋刊.</v>
      </c>
    </row>
    <row r="826" spans="1:3" ht="11.25">
      <c r="A826" s="3" t="str">
        <f>"911.2/5/2a/MASAOKA"</f>
        <v>911.2/5/2a/MASAOKA</v>
      </c>
      <c r="B826" s="3" t="str">
        <f>"下ノ本"</f>
        <v>下ノ本</v>
      </c>
      <c r="C826" s="3" t="str">
        <f>"老葉 / 宗祇著,自註,宗長註,観明軒能順編 ; 上ノ本 - 下ノ末.-- 唐本屋八郎兵衛; 宝永1(1704)年4月跋刊."</f>
        <v>老葉 / 宗祇著,自註,宗長註,観明軒能順編 ; 上ノ本 - 下ノ末.-- 唐本屋八郎兵衛; 宝永1(1704)年4月跋刊.</v>
      </c>
    </row>
    <row r="827" spans="1:3" ht="11.25">
      <c r="A827" s="3" t="str">
        <f>"911.2/5/2b/MASAOKA"</f>
        <v>911.2/5/2b/MASAOKA</v>
      </c>
      <c r="B827" s="3" t="str">
        <f>"下ノ末"</f>
        <v>下ノ末</v>
      </c>
      <c r="C827" s="3" t="str">
        <f>"老葉 / 宗祇著,自註,宗長註,観明軒能順編 ; 上ノ本 - 下ノ末.-- 唐本屋八郎兵衛; 宝永1(1704)年4月跋刊."</f>
        <v>老葉 / 宗祇著,自註,宗長註,観明軒能順編 ; 上ノ本 - 下ノ末.-- 唐本屋八郎兵衛; 宝永1(1704)年4月跋刊.</v>
      </c>
    </row>
    <row r="828" spans="1:3" ht="11.25">
      <c r="A828" s="3" t="str">
        <f>"911.2/6/1/MASAOKA"</f>
        <v>911.2/6/1/MASAOKA</v>
      </c>
      <c r="B828" s="3" t="str">
        <f>"1"</f>
        <v>1</v>
      </c>
      <c r="C828" s="3" t="str">
        <f>"新撰菟玖波集 / 一条冬良,宗祇,兼載[ほか]編 ; 1-2, 1, 2.-- 長谷川庄右衛門; 寛保3(1743)年刊."</f>
        <v>新撰菟玖波集 / 一条冬良,宗祇,兼載[ほか]編 ; 1-2, 1, 2.-- 長谷川庄右衛門; 寛保3(1743)年刊.</v>
      </c>
    </row>
    <row r="829" spans="1:3" ht="11.25">
      <c r="A829" s="3" t="str">
        <f>"911.2/6/2/MASAOKA"</f>
        <v>911.2/6/2/MASAOKA</v>
      </c>
      <c r="B829" s="3" t="str">
        <f>"2"</f>
        <v>2</v>
      </c>
      <c r="C829" s="3" t="str">
        <f>"新撰菟玖波集 / 一条冬良,宗祇,兼載[ほか]編 ; 1-2, 1, 2.-- 長谷川庄右衛門; 寛保3(1743)年刊."</f>
        <v>新撰菟玖波集 / 一条冬良,宗祇,兼載[ほか]編 ; 1-2, 1, 2.-- 長谷川庄右衛門; 寛保3(1743)年刊.</v>
      </c>
    </row>
    <row r="830" spans="1:3" ht="11.25">
      <c r="A830" s="3" t="str">
        <f>"911.2/7//MASAOKA"</f>
        <v>911.2/7//MASAOKA</v>
      </c>
      <c r="B830" s="3">
        <f>""</f>
      </c>
      <c r="C830" s="3" t="str">
        <f>"連歌新式追加并新式今案等 / 二條良基著.-- [出版者不明]; 正徳4(1714)年11月刊."</f>
        <v>連歌新式追加并新式今案等 / 二條良基著.-- [出版者不明]; 正徳4(1714)年11月刊.</v>
      </c>
    </row>
    <row r="831" spans="1:3" ht="11.25">
      <c r="A831" s="3" t="str">
        <f>"911.2/8//MASAOKA"</f>
        <v>911.2/8//MASAOKA</v>
      </c>
      <c r="B831" s="3">
        <f>""</f>
      </c>
      <c r="C831" s="3" t="str">
        <f>"宗碩 / 宗碩作.-- [出版者不明]; [出版年不明]."</f>
        <v>宗碩 / 宗碩作.-- [出版者不明]; [出版年不明].</v>
      </c>
    </row>
    <row r="832" spans="1:3" ht="11.25">
      <c r="A832" s="3" t="str">
        <f>"911.2/9/1/MASAOKA"</f>
        <v>911.2/9/1/MASAOKA</v>
      </c>
      <c r="B832" s="3" t="str">
        <f>"上"</f>
        <v>上</v>
      </c>
      <c r="C832" s="3" t="str">
        <f>"紹巴後千句注 / 紹巴 ; 上・下, 上, 下.-- [出版者不明]; [出版年不明]."</f>
        <v>紹巴後千句注 / 紹巴 ; 上・下, 上, 下.-- [出版者不明]; [出版年不明].</v>
      </c>
    </row>
    <row r="833" spans="1:3" ht="11.25">
      <c r="A833" s="3" t="str">
        <f>"911.2/9/2/MASAOKA"</f>
        <v>911.2/9/2/MASAOKA</v>
      </c>
      <c r="B833" s="3" t="str">
        <f>"下"</f>
        <v>下</v>
      </c>
      <c r="C833" s="3" t="str">
        <f>"紹巴後千句注 / 紹巴 ; 上・下, 上, 下.-- [出版者不明]; [出版年不明]."</f>
        <v>紹巴後千句注 / 紹巴 ; 上・下, 上, 下.-- [出版者不明]; [出版年不明].</v>
      </c>
    </row>
    <row r="834" spans="1:3" ht="11.25">
      <c r="A834" s="3" t="str">
        <f>"911.2/10//MASAOKA"</f>
        <v>911.2/10//MASAOKA</v>
      </c>
      <c r="B834" s="3">
        <f>""</f>
      </c>
      <c r="C834" s="3" t="str">
        <f>"宗長発句集 / 宗長作.-- [出版者不明]; [出版年不明]."</f>
        <v>宗長発句集 / 宗長作.-- [出版者不明]; [出版年不明].</v>
      </c>
    </row>
    <row r="835" spans="1:3" ht="11.25">
      <c r="A835" s="3" t="str">
        <f>"911.2/11//MASAOKA"</f>
        <v>911.2/11//MASAOKA</v>
      </c>
      <c r="B835" s="3">
        <f>""</f>
      </c>
      <c r="C835" s="3" t="str">
        <f>"宗砌発句帳 / 宗砌作.-- [出版者不明]; [出版年不明]."</f>
        <v>宗砌発句帳 / 宗砌作.-- [出版者不明]; [出版年不明].</v>
      </c>
    </row>
    <row r="836" spans="1:3" ht="11.25">
      <c r="A836" s="3" t="str">
        <f>"911.2/12//MASAOKA"</f>
        <v>911.2/12//MASAOKA</v>
      </c>
      <c r="B836" s="3">
        <f>""</f>
      </c>
      <c r="C836" s="3" t="str">
        <f>"心敬発句帳 / 心敬作.-- [出版者不明]; [出版年不明]."</f>
        <v>心敬発句帳 / 心敬作.-- [出版者不明]; [出版年不明].</v>
      </c>
    </row>
    <row r="837" spans="1:3" ht="11.25">
      <c r="A837" s="3" t="str">
        <f>"911.2/13//MASAOKA"</f>
        <v>911.2/13//MASAOKA</v>
      </c>
      <c r="B837" s="3">
        <f>""</f>
      </c>
      <c r="C837" s="3" t="str">
        <f>"老のすさひ / [宗祇編] ; 全.-- [出版者不明]; [文明11(1479)年1月成立]."</f>
        <v>老のすさひ / [宗祇編] ; 全.-- [出版者不明]; [文明11(1479)年1月成立].</v>
      </c>
    </row>
    <row r="838" spans="1:3" ht="11.25">
      <c r="A838" s="3" t="str">
        <f>"911.2/14//MASAOKA"</f>
        <v>911.2/14//MASAOKA</v>
      </c>
      <c r="B838" s="3">
        <f>""</f>
      </c>
      <c r="C838" s="3" t="str">
        <f>"玄仍 / 里村玄仍作.-- [製作者不明]; [製作年不明]."</f>
        <v>玄仍 / 里村玄仍作.-- [製作者不明]; [製作年不明].</v>
      </c>
    </row>
    <row r="839" spans="1:3" ht="11.25">
      <c r="A839" s="3" t="str">
        <f>"911.2/15//MASAOKA"</f>
        <v>911.2/15//MASAOKA</v>
      </c>
      <c r="B839" s="3">
        <f>""</f>
      </c>
      <c r="C839" s="3" t="str">
        <f>"近衛殿千句抜書 / [著者不明].-- [製作者不明]; [製作年不明]."</f>
        <v>近衛殿千句抜書 / [著者不明].-- [製作者不明]; [製作年不明].</v>
      </c>
    </row>
    <row r="840" spans="1:3" ht="11.25">
      <c r="A840" s="3" t="str">
        <f>"911.2/16//MASAOKA"</f>
        <v>911.2/16//MASAOKA</v>
      </c>
      <c r="B840" s="3">
        <f>""</f>
      </c>
      <c r="C840" s="3" t="str">
        <f>"正益千句 / 正益[著].-- [製作者不明]; [慶長14(1609)年写]."</f>
        <v>正益千句 / 正益[著].-- [製作者不明]; [慶長14(1609)年写].</v>
      </c>
    </row>
    <row r="841" spans="1:3" ht="11.25">
      <c r="A841" s="3" t="str">
        <f>"911.2/17//MASAOKA"</f>
        <v>911.2/17//MASAOKA</v>
      </c>
      <c r="B841" s="3">
        <f>""</f>
      </c>
      <c r="C841" s="3" t="str">
        <f>"花千句 / 聴雪[ほか著].-- [製作者不明]; [永正13(1519)年3月写]."</f>
        <v>花千句 / 聴雪[ほか著].-- [製作者不明]; [永正13(1519)年3月写].</v>
      </c>
    </row>
    <row r="842" spans="1:3" ht="11.25">
      <c r="A842" s="3" t="str">
        <f>"911.2/18//MASAOKA"</f>
        <v>911.2/18//MASAOKA</v>
      </c>
      <c r="B842" s="3">
        <f>""</f>
      </c>
      <c r="C842" s="3" t="str">
        <f>"菟玖婆廼山口 / 阪昌功.-- [出版者不明]; 天保4(1833)年9月下旬自跋."</f>
        <v>菟玖婆廼山口 / 阪昌功.-- [出版者不明]; 天保4(1833)年9月下旬自跋.</v>
      </c>
    </row>
    <row r="843" spans="1:3" ht="11.25">
      <c r="A843" s="3" t="str">
        <f>"911.2/19//MASAOKA"</f>
        <v>911.2/19//MASAOKA</v>
      </c>
      <c r="B843" s="3">
        <f>""</f>
      </c>
      <c r="C843" s="3" t="str">
        <f>"三籟集 / 西山昌林編.-- [西山昌林]; 享保19(1734)年11月刊."</f>
        <v>三籟集 / 西山昌林編.-- [西山昌林]; 享保19(1734)年11月刊.</v>
      </c>
    </row>
    <row r="844" spans="1:3" ht="11.25">
      <c r="A844" s="3" t="str">
        <f>"911.2/20//MASAOKA"</f>
        <v>911.2/20//MASAOKA</v>
      </c>
      <c r="B844" s="3">
        <f>""</f>
      </c>
      <c r="C844" s="3" t="str">
        <f>"宗牧 / 宗牧作.-- [出版者不明]; [出版年不明]."</f>
        <v>宗牧 / 宗牧作.-- [出版者不明]; [出版年不明].</v>
      </c>
    </row>
    <row r="845" spans="1:3" ht="11.25">
      <c r="A845" s="3" t="str">
        <f>"911.2/21//MASAOKA"</f>
        <v>911.2/21//MASAOKA</v>
      </c>
      <c r="B845" s="3">
        <f>""</f>
      </c>
      <c r="C845" s="3" t="str">
        <f>"両吟千句 / 紹巴,昌叱[著].-- [製作者不明]; [文禄3(1594)年写]."</f>
        <v>両吟千句 / 紹巴,昌叱[著].-- [製作者不明]; [文禄3(1594)年写].</v>
      </c>
    </row>
    <row r="846" spans="1:3" ht="11.25">
      <c r="A846" s="3" t="str">
        <f>"911.2/22//MASAOKA"</f>
        <v>911.2/22//MASAOKA</v>
      </c>
      <c r="B846" s="3">
        <f>""</f>
      </c>
      <c r="C846" s="3" t="str">
        <f>"鎌倉千句 / 兼如作.-- [出版者不明]; [慶長13(1608)年10月成立]."</f>
        <v>鎌倉千句 / 兼如作.-- [出版者不明]; [慶長13(1608)年10月成立].</v>
      </c>
    </row>
    <row r="847" spans="1:3" ht="11.25">
      <c r="A847" s="3" t="str">
        <f>"911.2/23//MASAOKA"</f>
        <v>911.2/23//MASAOKA</v>
      </c>
      <c r="B847" s="3">
        <f>""</f>
      </c>
      <c r="C847" s="3" t="str">
        <f>"素然永雄両吟和漢 / [著者不明].-- [出版者不明]; [出版年不明]."</f>
        <v>素然永雄両吟和漢 / [著者不明].-- [出版者不明]; [出版年不明].</v>
      </c>
    </row>
    <row r="848" spans="1:3" ht="11.25">
      <c r="A848" s="3" t="str">
        <f>"911.2/24/1a/MASAOKA"</f>
        <v>911.2/24/1a/MASAOKA</v>
      </c>
      <c r="B848" s="3" t="str">
        <f>"春部上"</f>
        <v>春部上</v>
      </c>
      <c r="C848" s="3" t="str">
        <f aca="true" t="shared" si="25" ref="C848:C857">"連歌大発句帳 ; 春部上 - 冬部下.-- 長尾平兵衛; 寛文6(1666)年8月."</f>
        <v>連歌大発句帳 ; 春部上 - 冬部下.-- 長尾平兵衛; 寛文6(1666)年8月.</v>
      </c>
    </row>
    <row r="849" spans="1:3" ht="11.25">
      <c r="A849" s="3" t="str">
        <f>"911.2/24/1b/MASAOKA"</f>
        <v>911.2/24/1b/MASAOKA</v>
      </c>
      <c r="B849" s="3" t="str">
        <f>"春部中"</f>
        <v>春部中</v>
      </c>
      <c r="C849" s="3" t="str">
        <f t="shared" si="25"/>
        <v>連歌大発句帳 ; 春部上 - 冬部下.-- 長尾平兵衛; 寛文6(1666)年8月.</v>
      </c>
    </row>
    <row r="850" spans="1:3" ht="11.25">
      <c r="A850" s="3" t="str">
        <f>"911.2/24/1c/MASAOKA"</f>
        <v>911.2/24/1c/MASAOKA</v>
      </c>
      <c r="B850" s="3" t="str">
        <f>"春部下"</f>
        <v>春部下</v>
      </c>
      <c r="C850" s="3" t="str">
        <f t="shared" si="25"/>
        <v>連歌大発句帳 ; 春部上 - 冬部下.-- 長尾平兵衛; 寛文6(1666)年8月.</v>
      </c>
    </row>
    <row r="851" spans="1:3" ht="11.25">
      <c r="A851" s="3" t="str">
        <f>"911.2/24/2a/MASAOKA"</f>
        <v>911.2/24/2a/MASAOKA</v>
      </c>
      <c r="B851" s="3" t="str">
        <f>"夏部上"</f>
        <v>夏部上</v>
      </c>
      <c r="C851" s="3" t="str">
        <f t="shared" si="25"/>
        <v>連歌大発句帳 ; 春部上 - 冬部下.-- 長尾平兵衛; 寛文6(1666)年8月.</v>
      </c>
    </row>
    <row r="852" spans="1:3" ht="11.25">
      <c r="A852" s="3" t="str">
        <f>"911.2/24/2b/MASAOKA"</f>
        <v>911.2/24/2b/MASAOKA</v>
      </c>
      <c r="B852" s="3" t="str">
        <f>"夏部下"</f>
        <v>夏部下</v>
      </c>
      <c r="C852" s="3" t="str">
        <f t="shared" si="25"/>
        <v>連歌大発句帳 ; 春部上 - 冬部下.-- 長尾平兵衛; 寛文6(1666)年8月.</v>
      </c>
    </row>
    <row r="853" spans="1:3" ht="11.25">
      <c r="A853" s="3" t="str">
        <f>"911.2/24/3a/MASAOKA"</f>
        <v>911.2/24/3a/MASAOKA</v>
      </c>
      <c r="B853" s="3" t="str">
        <f>"秋部上"</f>
        <v>秋部上</v>
      </c>
      <c r="C853" s="3" t="str">
        <f t="shared" si="25"/>
        <v>連歌大発句帳 ; 春部上 - 冬部下.-- 長尾平兵衛; 寛文6(1666)年8月.</v>
      </c>
    </row>
    <row r="854" spans="1:3" ht="11.25">
      <c r="A854" s="3" t="str">
        <f>"911.2/24/3b/MASAOKA"</f>
        <v>911.2/24/3b/MASAOKA</v>
      </c>
      <c r="B854" s="3" t="str">
        <f>"秋部中"</f>
        <v>秋部中</v>
      </c>
      <c r="C854" s="3" t="str">
        <f t="shared" si="25"/>
        <v>連歌大発句帳 ; 春部上 - 冬部下.-- 長尾平兵衛; 寛文6(1666)年8月.</v>
      </c>
    </row>
    <row r="855" spans="1:3" ht="11.25">
      <c r="A855" s="3" t="str">
        <f>"911.2/24/3c/MASAOKA"</f>
        <v>911.2/24/3c/MASAOKA</v>
      </c>
      <c r="B855" s="3" t="str">
        <f>"秋部下"</f>
        <v>秋部下</v>
      </c>
      <c r="C855" s="3" t="str">
        <f t="shared" si="25"/>
        <v>連歌大発句帳 ; 春部上 - 冬部下.-- 長尾平兵衛; 寛文6(1666)年8月.</v>
      </c>
    </row>
    <row r="856" spans="1:3" ht="11.25">
      <c r="A856" s="3" t="str">
        <f>"911.2/24/4a/MASAOKA"</f>
        <v>911.2/24/4a/MASAOKA</v>
      </c>
      <c r="B856" s="3" t="str">
        <f>"冬部上"</f>
        <v>冬部上</v>
      </c>
      <c r="C856" s="3" t="str">
        <f t="shared" si="25"/>
        <v>連歌大発句帳 ; 春部上 - 冬部下.-- 長尾平兵衛; 寛文6(1666)年8月.</v>
      </c>
    </row>
    <row r="857" spans="1:3" ht="11.25">
      <c r="A857" s="3" t="str">
        <f>"911.2/24/4b/MASAOKA"</f>
        <v>911.2/24/4b/MASAOKA</v>
      </c>
      <c r="B857" s="3" t="str">
        <f>"冬部下"</f>
        <v>冬部下</v>
      </c>
      <c r="C857" s="3" t="str">
        <f t="shared" si="25"/>
        <v>連歌大発句帳 ; 春部上 - 冬部下.-- 長尾平兵衛; 寛文6(1666)年8月.</v>
      </c>
    </row>
    <row r="858" spans="1:3" ht="11.25">
      <c r="A858" s="3" t="str">
        <f>"911.3/1//MASAOKA"</f>
        <v>911.3/1//MASAOKA</v>
      </c>
      <c r="B858" s="3">
        <f>""</f>
      </c>
      <c r="C858" s="3" t="str">
        <f>"明治百人十句 / 反響社編.-- 昭文堂; 明治43(1910)年2月."</f>
        <v>明治百人十句 / 反響社編.-- 昭文堂; 明治43(1910)年2月.</v>
      </c>
    </row>
    <row r="859" spans="1:3" ht="11.25">
      <c r="A859" s="3" t="str">
        <f>"911.3/2//MASAOKA"</f>
        <v>911.3/2//MASAOKA</v>
      </c>
      <c r="B859" s="3">
        <f>""</f>
      </c>
      <c r="C859" s="3" t="str">
        <f>"俳諧紅緑子 / 佐藤洽六著.-- 有朋館; 明治37(1904)年3月."</f>
        <v>俳諧紅緑子 / 佐藤洽六著.-- 有朋館; 明治37(1904)年3月.</v>
      </c>
    </row>
    <row r="860" spans="1:3" ht="11.25">
      <c r="A860" s="3" t="str">
        <f>"911.3/3//MASAOKA"</f>
        <v>911.3/3//MASAOKA</v>
      </c>
      <c r="B860" s="3">
        <f>""</f>
      </c>
      <c r="C860" s="3" t="str">
        <f>"滑稽俳句集 / 紅緑子編.-- 言文社; 明治34(1901)年8月."</f>
        <v>滑稽俳句集 / 紅緑子編.-- 言文社; 明治34(1901)年8月.</v>
      </c>
    </row>
    <row r="861" spans="1:3" ht="11.25">
      <c r="A861" s="3" t="str">
        <f>"911.3/4//MASAOKA"</f>
        <v>911.3/4//MASAOKA</v>
      </c>
      <c r="B861" s="3">
        <f>""</f>
      </c>
      <c r="C861" s="3" t="str">
        <f>"俳句入門 / 高浜虚子著.-- 再版.-- 小年園; 明治61(1898)年5月."</f>
        <v>俳句入門 / 高浜虚子著.-- 再版.-- 小年園; 明治61(1898)年5月.</v>
      </c>
    </row>
    <row r="862" spans="1:3" ht="11.25">
      <c r="A862" s="3" t="str">
        <f>"911.3/5//MASAOKA"</f>
        <v>911.3/5//MASAOKA</v>
      </c>
      <c r="B862" s="3" t="str">
        <f>"[正]"</f>
        <v>[正]</v>
      </c>
      <c r="C862" s="3" t="str">
        <f>"俳句評釈 / 河東碧梧桐著 ; [正]・続, 続, [正].-- 新声社; 明治32(1899)年."</f>
        <v>俳句評釈 / 河東碧梧桐著 ; [正]・続, 続, [正].-- 新声社; 明治32(1899)年.</v>
      </c>
    </row>
    <row r="863" spans="1:3" ht="11.25">
      <c r="A863" s="3" t="str">
        <f>"911.3/5/b/MASAOKA"</f>
        <v>911.3/5/b/MASAOKA</v>
      </c>
      <c r="B863" s="3" t="str">
        <f>"続"</f>
        <v>続</v>
      </c>
      <c r="C863" s="3" t="str">
        <f>"俳句評釈 / 河東碧梧桐著 ; [正]・続, 続, [正].-- 新声社; 明治32(1899)年."</f>
        <v>俳句評釈 / 河東碧梧桐著 ; [正]・続, 続, [正].-- 新声社; 明治32(1899)年.</v>
      </c>
    </row>
    <row r="864" spans="1:3" ht="11.25">
      <c r="A864" s="3" t="str">
        <f>"911.3/6//MASAOKA"</f>
        <v>911.3/6//MASAOKA</v>
      </c>
      <c r="B864" s="3">
        <f>""</f>
      </c>
      <c r="C864" s="3" t="str">
        <f>"晋其角 / 岡野知十著.-- 裳華房; 1900.5.-- (文藝叢書 ; 第1編)."</f>
        <v>晋其角 / 岡野知十著.-- 裳華房; 1900.5.-- (文藝叢書 ; 第1編).</v>
      </c>
    </row>
    <row r="865" spans="1:3" ht="11.25">
      <c r="A865" s="3" t="str">
        <f>"911.3/7//MASAOKA"</f>
        <v>911.3/7//MASAOKA</v>
      </c>
      <c r="B865" s="3" t="str">
        <f>"上之巻"</f>
        <v>上之巻</v>
      </c>
      <c r="C865" s="3" t="str">
        <f>"俳句問答 / 獺祭書屋主人著,高浜虚子編 ; 上・下之巻, 上之巻, 下之巻.-- 金尾文淵堂[ほか1軒]; 明治34-35(1901-1902)年.-- (俳諧叢書 ; 第11-12編)."</f>
        <v>俳句問答 / 獺祭書屋主人著,高浜虚子編 ; 上・下之巻, 上之巻, 下之巻.-- 金尾文淵堂[ほか1軒]; 明治34-35(1901-1902)年.-- (俳諧叢書 ; 第11-12編).</v>
      </c>
    </row>
    <row r="866" spans="1:3" ht="11.25">
      <c r="A866" s="3" t="str">
        <f>"911.3/7/2a/MASAOKA"</f>
        <v>911.3/7/2a/MASAOKA</v>
      </c>
      <c r="B866" s="3" t="str">
        <f>"下之巻"</f>
        <v>下之巻</v>
      </c>
      <c r="C866" s="3" t="str">
        <f>"俳句問答 / 獺祭書屋主人著,高浜虚子編 ; 上・下之巻, 上之巻, 下之巻.-- 金尾文淵堂[ほか1軒]; 明治34-35(1901-1902)年.-- (俳諧叢書 ; 第11-12編)."</f>
        <v>俳句問答 / 獺祭書屋主人著,高浜虚子編 ; 上・下之巻, 上之巻, 下之巻.-- 金尾文淵堂[ほか1軒]; 明治34-35(1901-1902)年.-- (俳諧叢書 ; 第11-12編).</v>
      </c>
    </row>
    <row r="867" spans="1:3" ht="11.25">
      <c r="A867" s="3" t="str">
        <f>"911.3/7/2b/MASAOKA"</f>
        <v>911.3/7/2b/MASAOKA</v>
      </c>
      <c r="B867" s="3" t="str">
        <f>"下之巻"</f>
        <v>下之巻</v>
      </c>
      <c r="C867" s="3" t="str">
        <f>"俳句問答 / 獺祭書屋主人著,高浜虚子編 ; 上・下之巻, 上之巻, 下之巻.-- 金尾文淵堂[ほか1軒]; 明治34-35(1901-1902)年.-- (俳諧叢書 ; 第11-12編)."</f>
        <v>俳句問答 / 獺祭書屋主人著,高浜虚子編 ; 上・下之巻, 上之巻, 下之巻.-- 金尾文淵堂[ほか1軒]; 明治34-35(1901-1902)年.-- (俳諧叢書 ; 第11-12編).</v>
      </c>
    </row>
    <row r="868" spans="1:3" ht="11.25">
      <c r="A868" s="3" t="str">
        <f>"911.3/7/2c/MASAOKA"</f>
        <v>911.3/7/2c/MASAOKA</v>
      </c>
      <c r="B868" s="3" t="str">
        <f>"下之巻"</f>
        <v>下之巻</v>
      </c>
      <c r="C868" s="3" t="str">
        <f>"俳句問答 / 獺祭書屋主人著,高浜虚子編 ; 上・下之巻, 上之巻, 下之巻.-- 金尾文淵堂[ほか1軒]; 明治34-35(1901-1902)年.-- (俳諧叢書 ; 第11-12編)."</f>
        <v>俳句問答 / 獺祭書屋主人著,高浜虚子編 ; 上・下之巻, 上之巻, 下之巻.-- 金尾文淵堂[ほか1軒]; 明治34-35(1901-1902)年.-- (俳諧叢書 ; 第11-12編).</v>
      </c>
    </row>
    <row r="869" spans="1:3" ht="11.25">
      <c r="A869" s="3" t="str">
        <f>"911.3/8/1/MASAOKA"</f>
        <v>911.3/8/1/MASAOKA</v>
      </c>
      <c r="B869" s="3" t="str">
        <f>"春"</f>
        <v>春</v>
      </c>
      <c r="C869" s="3" t="str">
        <f>"春夏秋冬 / 高浜清編 ; 春・夏, 春, 夏.-- ほととぎす発行所; 明治34-35(1901-1902)年."</f>
        <v>春夏秋冬 / 高浜清編 ; 春・夏, 春, 夏.-- ほととぎす発行所; 明治34-35(1901-1902)年.</v>
      </c>
    </row>
    <row r="870" spans="1:3" ht="11.25">
      <c r="A870" s="3" t="str">
        <f>"911.3/8/1b/MASAOKA"</f>
        <v>911.3/8/1b/MASAOKA</v>
      </c>
      <c r="B870" s="3" t="str">
        <f>"春"</f>
        <v>春</v>
      </c>
      <c r="C870" s="3" t="str">
        <f>"春夏秋冬 / 高浜清編 ; 春・夏, 春, 夏.-- ほととぎす発行所; 明治34-35(1901-1902)年."</f>
        <v>春夏秋冬 / 高浜清編 ; 春・夏, 春, 夏.-- ほととぎす発行所; 明治34-35(1901-1902)年.</v>
      </c>
    </row>
    <row r="871" spans="1:3" ht="11.25">
      <c r="A871" s="3" t="str">
        <f>"911.3/8/2/MASAOKA"</f>
        <v>911.3/8/2/MASAOKA</v>
      </c>
      <c r="B871" s="3" t="str">
        <f>"夏"</f>
        <v>夏</v>
      </c>
      <c r="C871" s="3" t="str">
        <f>"春夏秋冬 / 高浜清編 ; 春・夏, 春, 夏.-- ほととぎす発行所; 明治34-35(1901-1902)年."</f>
        <v>春夏秋冬 / 高浜清編 ; 春・夏, 春, 夏.-- ほととぎす発行所; 明治34-35(1901-1902)年.</v>
      </c>
    </row>
    <row r="872" spans="1:3" ht="11.25">
      <c r="A872" s="3" t="str">
        <f>"911.3/8/2b/MASAOKA"</f>
        <v>911.3/8/2b/MASAOKA</v>
      </c>
      <c r="B872" s="3" t="str">
        <f>"夏"</f>
        <v>夏</v>
      </c>
      <c r="C872" s="3" t="str">
        <f>"春夏秋冬 / 高浜清編 ; 春・夏, 春, 夏.-- ほととぎす発行所; 明治34-35(1901-1902)年."</f>
        <v>春夏秋冬 / 高浜清編 ; 春・夏, 春, 夏.-- ほととぎす発行所; 明治34-35(1901-1902)年.</v>
      </c>
    </row>
    <row r="873" spans="1:3" ht="11.25">
      <c r="A873" s="3" t="str">
        <f>"911.3/9//MASAOKA"</f>
        <v>911.3/9//MASAOKA</v>
      </c>
      <c r="B873" s="3">
        <f>""</f>
      </c>
      <c r="C873" s="3" t="str">
        <f>"太祇全集 / 高浜清編.-- ほととぎす発行所; 明治33(1900)年2月.-- (俳諧叢書 ; 第4編)."</f>
        <v>太祇全集 / 高浜清編.-- ほととぎす発行所; 明治33(1900)年2月.-- (俳諧叢書 ; 第4編).</v>
      </c>
    </row>
    <row r="874" spans="1:3" ht="11.25">
      <c r="A874" s="3" t="str">
        <f>"911.3/10/2/MASAOKA"</f>
        <v>911.3/10/2/MASAOKA</v>
      </c>
      <c r="B874" s="3" t="str">
        <f>"2の巻"</f>
        <v>2の巻</v>
      </c>
      <c r="C874" s="3" t="str">
        <f>"俳諧自在法 / 三森幹雄 ; 2-5の巻 - 5の巻.-- 庚寅新誌社; 明治25-26(1892-1893)年."</f>
        <v>俳諧自在法 / 三森幹雄 ; 2-5の巻 - 5の巻.-- 庚寅新誌社; 明治25-26(1892-1893)年.</v>
      </c>
    </row>
    <row r="875" spans="1:3" ht="11.25">
      <c r="A875" s="3" t="str">
        <f>"911.3/10/3/MASAOKA"</f>
        <v>911.3/10/3/MASAOKA</v>
      </c>
      <c r="B875" s="3" t="str">
        <f>"3の巻"</f>
        <v>3の巻</v>
      </c>
      <c r="C875" s="3" t="str">
        <f>"俳諧自在法 / 三森幹雄 ; 2-5の巻 - 5の巻.-- 庚寅新誌社; 明治25-26(1892-1893)年."</f>
        <v>俳諧自在法 / 三森幹雄 ; 2-5の巻 - 5の巻.-- 庚寅新誌社; 明治25-26(1892-1893)年.</v>
      </c>
    </row>
    <row r="876" spans="1:3" ht="11.25">
      <c r="A876" s="3" t="str">
        <f>"911.3/10/4/MASAOKA"</f>
        <v>911.3/10/4/MASAOKA</v>
      </c>
      <c r="B876" s="3" t="str">
        <f>"4の巻"</f>
        <v>4の巻</v>
      </c>
      <c r="C876" s="3" t="str">
        <f>"俳諧自在法 / 三森幹雄 ; 2-5の巻 - 5の巻.-- 庚寅新誌社; 明治25-26(1892-1893)年."</f>
        <v>俳諧自在法 / 三森幹雄 ; 2-5の巻 - 5の巻.-- 庚寅新誌社; 明治25-26(1892-1893)年.</v>
      </c>
    </row>
    <row r="877" spans="1:3" ht="11.25">
      <c r="A877" s="3" t="str">
        <f>"911.3/10/5/MASAOKA"</f>
        <v>911.3/10/5/MASAOKA</v>
      </c>
      <c r="B877" s="3" t="str">
        <f>"5の巻"</f>
        <v>5の巻</v>
      </c>
      <c r="C877" s="3" t="str">
        <f>"俳諧自在法 / 三森幹雄 ; 2-5の巻 - 5の巻.-- 庚寅新誌社; 明治25-26(1892-1893)年."</f>
        <v>俳諧自在法 / 三森幹雄 ; 2-5の巻 - 5の巻.-- 庚寅新誌社; 明治25-26(1892-1893)年.</v>
      </c>
    </row>
    <row r="878" spans="1:3" ht="11.25">
      <c r="A878" s="3" t="str">
        <f>"911.3/11/1/MASAOKA"</f>
        <v>911.3/11/1/MASAOKA</v>
      </c>
      <c r="B878" s="3" t="str">
        <f>"上巻"</f>
        <v>上巻</v>
      </c>
      <c r="C878" s="3" t="str">
        <f>"中興俳諧五傑集 / 伊藤松宇編 ; 上・下巻, 上巻, 下巻.-- 春陽堂; 明治32(1899)年8月."</f>
        <v>中興俳諧五傑集 / 伊藤松宇編 ; 上・下巻, 上巻, 下巻.-- 春陽堂; 明治32(1899)年8月.</v>
      </c>
    </row>
    <row r="879" spans="1:3" ht="11.25">
      <c r="A879" s="3" t="str">
        <f>"911.3/11/2/MASAOKA"</f>
        <v>911.3/11/2/MASAOKA</v>
      </c>
      <c r="B879" s="3" t="str">
        <f>"下巻"</f>
        <v>下巻</v>
      </c>
      <c r="C879" s="3" t="str">
        <f>"中興俳諧五傑集 / 伊藤松宇編 ; 上・下巻, 上巻, 下巻.-- 春陽堂; 明治32(1899)年8月."</f>
        <v>中興俳諧五傑集 / 伊藤松宇編 ; 上・下巻, 上巻, 下巻.-- 春陽堂; 明治32(1899)年8月.</v>
      </c>
    </row>
    <row r="880" spans="1:3" ht="11.25">
      <c r="A880" s="3" t="str">
        <f>"911.3/12//MASAOKA"</f>
        <v>911.3/12//MASAOKA</v>
      </c>
      <c r="B880" s="3">
        <f>""</f>
      </c>
      <c r="C880" s="3" t="str">
        <f>"俳句新註 / 佐藤紅緑著.-- 新声社; 明治35(1902)年6月.-- (俳句新叢 ; 第1)."</f>
        <v>俳句新註 / 佐藤紅緑著.-- 新声社; 明治35(1902)年6月.-- (俳句新叢 ; 第1).</v>
      </c>
    </row>
    <row r="881" spans="1:3" ht="11.25">
      <c r="A881" s="3" t="str">
        <f>"911.3/13//MASAOKA"</f>
        <v>911.3/13//MASAOKA</v>
      </c>
      <c r="B881" s="3">
        <f>""</f>
      </c>
      <c r="C881" s="3" t="str">
        <f>"新派俳家句集 / 近藤泥牛編.-- 白鴎社; 明治30(1897)年11月."</f>
        <v>新派俳家句集 / 近藤泥牛編.-- 白鴎社; 明治30(1897)年11月.</v>
      </c>
    </row>
    <row r="882" spans="1:3" ht="11.25">
      <c r="A882" s="3" t="str">
        <f>"911.3/14//MASAOKA"</f>
        <v>911.3/14//MASAOKA</v>
      </c>
      <c r="B882" s="3">
        <f>""</f>
      </c>
      <c r="C882" s="3" t="str">
        <f>"鳴雪句集 / 内藤素行著.-- 俳書堂; 明治42(1909)年1月."</f>
        <v>鳴雪句集 / 内藤素行著.-- 俳書堂; 明治42(1909)年1月.</v>
      </c>
    </row>
    <row r="883" spans="1:3" ht="11.25">
      <c r="A883" s="3" t="str">
        <f>"911.3/15//MASAOKA"</f>
        <v>911.3/15//MASAOKA</v>
      </c>
      <c r="B883" s="3">
        <f>""</f>
      </c>
      <c r="C883" s="3" t="str">
        <f>"俳諧名誉談 / 三森幹雄著 ; 全.-- 庚寅新誌社; 明治26(1893)年9月."</f>
        <v>俳諧名誉談 / 三森幹雄著 ; 全.-- 庚寅新誌社; 明治26(1893)年9月.</v>
      </c>
    </row>
    <row r="884" spans="1:3" ht="11.25">
      <c r="A884" s="3" t="str">
        <f>"911.3/16//MASAOKA"</f>
        <v>911.3/16//MASAOKA</v>
      </c>
      <c r="B884" s="3">
        <f>""</f>
      </c>
      <c r="C884" s="3" t="str">
        <f>"俳諧名家全伝 / 津田房之助著.-- 三末堂; 明治30(1897)年10月."</f>
        <v>俳諧名家全伝 / 津田房之助著.-- 三末堂; 明治30(1897)年10月.</v>
      </c>
    </row>
    <row r="885" spans="1:3" ht="11.25">
      <c r="A885" s="3" t="str">
        <f>"911.3/17//MASAOKA"</f>
        <v>911.3/17//MASAOKA</v>
      </c>
      <c r="B885" s="3">
        <f>""</f>
      </c>
      <c r="C885" s="3" t="str">
        <f>"古今俳家逸話 / しぐれ庵編.-- 有朋堂; 明治34(1901)年5月."</f>
        <v>古今俳家逸話 / しぐれ庵編.-- 有朋堂; 明治34(1901)年5月.</v>
      </c>
    </row>
    <row r="886" spans="1:3" ht="11.25">
      <c r="A886" s="3" t="str">
        <f>"911.3/18//MASAOKA"</f>
        <v>911.3/18//MASAOKA</v>
      </c>
      <c r="B886" s="3">
        <f>""</f>
      </c>
      <c r="C886" s="3" t="str">
        <f>"増補俳諧歳時記栞草 / 曲亭馬琴,藍亭青藍.-- 礫川出版社; 明治25(1897)年9月."</f>
        <v>増補俳諧歳時記栞草 / 曲亭馬琴,藍亭青藍.-- 礫川出版社; 明治25(1897)年9月.</v>
      </c>
    </row>
    <row r="887" spans="1:3" ht="11.25">
      <c r="A887" s="3" t="str">
        <f>"911.3/19/2/MASAOKA"</f>
        <v>911.3/19/2/MASAOKA</v>
      </c>
      <c r="B887" s="3" t="str">
        <f>"上巻"</f>
        <v>上巻</v>
      </c>
      <c r="C887" s="3" t="str">
        <f>"芭蕉以前俳諧集 / 大野洒竹編纂校訂 ; 上巻, 下巻.-- 博文館; 1897.10-12.-- (俳諧文庫 ; 第2, 3編)."</f>
        <v>芭蕉以前俳諧集 / 大野洒竹編纂校訂 ; 上巻, 下巻.-- 博文館; 1897.10-12.-- (俳諧文庫 ; 第2, 3編).</v>
      </c>
    </row>
    <row r="888" spans="1:3" ht="11.25">
      <c r="A888" s="3" t="str">
        <f>"911.3/19/3/MASAOKA"</f>
        <v>911.3/19/3/MASAOKA</v>
      </c>
      <c r="B888" s="3" t="str">
        <f>"下巻"</f>
        <v>下巻</v>
      </c>
      <c r="C888" s="3" t="str">
        <f>"芭蕉以前俳諧集 / 大野洒竹編纂校訂 ; 上巻, 下巻.-- 博文館; 1897.10-12.-- (俳諧文庫 ; 第2, 3編)."</f>
        <v>芭蕉以前俳諧集 / 大野洒竹編纂校訂 ; 上巻, 下巻.-- 博文館; 1897.10-12.-- (俳諧文庫 ; 第2, 3編).</v>
      </c>
    </row>
    <row r="889" spans="1:3" ht="11.25">
      <c r="A889" s="3" t="str">
        <f>"911.3/19/13/MASAOKA"</f>
        <v>911.3/19/13/MASAOKA</v>
      </c>
      <c r="B889" s="3">
        <f>""</f>
      </c>
      <c r="C889" s="3" t="str">
        <f>"俳諧論集 / 巖谷小波校訂.-- 博文館; 明治32(1899)年2月.-- (俳諧文庫 ; 第13編)."</f>
        <v>俳諧論集 / 巖谷小波校訂.-- 博文館; 明治32(1899)年2月.-- (俳諧文庫 ; 第13編).</v>
      </c>
    </row>
    <row r="890" spans="1:3" ht="11.25">
      <c r="A890" s="3" t="str">
        <f>"911.3/19/16/MASAOKA"</f>
        <v>911.3/19/16/MASAOKA</v>
      </c>
      <c r="B890" s="3">
        <f>""</f>
      </c>
      <c r="C890" s="3" t="str">
        <f>"俳諧句合全集 / 角田竹冷校.-- 博文館; 明治32(1899)年9月.-- (俳諧文庫 ; 第16編)."</f>
        <v>俳諧句合全集 / 角田竹冷校.-- 博文館; 明治32(1899)年9月.-- (俳諧文庫 ; 第16編).</v>
      </c>
    </row>
    <row r="891" spans="1:3" ht="11.25">
      <c r="A891" s="3" t="str">
        <f>"911.3/19/21/MASAOKA"</f>
        <v>911.3/19/21/MASAOKA</v>
      </c>
      <c r="B891" s="3">
        <f>""</f>
      </c>
      <c r="C891" s="3" t="str">
        <f>"付合作法全集 / 伊藤松宇校訂.-- 博文館; 1900.10.-- (俳諧文庫 ; 第21編)."</f>
        <v>付合作法全集 / 伊藤松宇校訂.-- 博文館; 1900.10.-- (俳諧文庫 ; 第21編).</v>
      </c>
    </row>
    <row r="892" spans="1:3" ht="11.25">
      <c r="A892" s="3" t="str">
        <f>"911.3/19/24/MASAOKA"</f>
        <v>911.3/19/24/MASAOKA</v>
      </c>
      <c r="B892" s="3" t="str">
        <f>"全"</f>
        <v>全</v>
      </c>
      <c r="C892" s="3" t="str">
        <f>"俳諧紀行全集 / 大淀三千風 [ほか] 著 ; 佐藤飯人校訂 ; 全.-- 博文館; 1901.6.-- (俳諧文庫 ; 第24編)."</f>
        <v>俳諧紀行全集 / 大淀三千風 [ほか] 著 ; 佐藤飯人校訂 ; 全.-- 博文館; 1901.6.-- (俳諧文庫 ; 第24編).</v>
      </c>
    </row>
    <row r="893" spans="1:3" ht="11.25">
      <c r="A893" s="3" t="str">
        <f>"911.3/20/2/MASAOKA"</f>
        <v>911.3/20/2/MASAOKA</v>
      </c>
      <c r="B893" s="3" t="str">
        <f>"2"</f>
        <v>2</v>
      </c>
      <c r="C893" s="3" t="str">
        <f>"掌中詞華集 / 自在庵光林 ; 2.-- 伊予屋善兵衛[ほか5軒]; [出版年不明]."</f>
        <v>掌中詞華集 / 自在庵光林 ; 2.-- 伊予屋善兵衛[ほか5軒]; [出版年不明].</v>
      </c>
    </row>
    <row r="894" spans="1:3" ht="11.25">
      <c r="A894" s="3" t="str">
        <f>"911.3/21//MASAOKA"</f>
        <v>911.3/21//MASAOKA</v>
      </c>
      <c r="B894" s="3">
        <f>""</f>
      </c>
      <c r="C894" s="3" t="str">
        <f>"俳諧発句芙蓉集 / 内海良大編輯.-- 旭昇堂; 明治16(1883)年1月."</f>
        <v>俳諧発句芙蓉集 / 内海良大編輯.-- 旭昇堂; 明治16(1883)年1月.</v>
      </c>
    </row>
    <row r="895" spans="1:3" ht="11.25">
      <c r="A895" s="3" t="str">
        <f>"911.3/22/1/MASAOKA"</f>
        <v>911.3/22/1/MASAOKA</v>
      </c>
      <c r="B895" s="3" t="str">
        <f>"正月部"</f>
        <v>正月部</v>
      </c>
      <c r="C895" s="3" t="str">
        <f aca="true" t="shared" si="26" ref="C895:C908">"季寄註解改正月令博物筌 / 鳥飼洞斎 ; 正月部-二月部 - 十一月部.-- 塩屋市良治[ほか3軒]; 文化1(1804)年12月."</f>
        <v>季寄註解改正月令博物筌 / 鳥飼洞斎 ; 正月部-二月部 - 十一月部.-- 塩屋市良治[ほか3軒]; 文化1(1804)年12月.</v>
      </c>
    </row>
    <row r="896" spans="1:3" ht="11.25">
      <c r="A896" s="3" t="str">
        <f>"911.3/22/2/MASAOKA"</f>
        <v>911.3/22/2/MASAOKA</v>
      </c>
      <c r="B896" s="3" t="str">
        <f>"二月部"</f>
        <v>二月部</v>
      </c>
      <c r="C896" s="3" t="str">
        <f t="shared" si="26"/>
        <v>季寄註解改正月令博物筌 / 鳥飼洞斎 ; 正月部-二月部 - 十一月部.-- 塩屋市良治[ほか3軒]; 文化1(1804)年12月.</v>
      </c>
    </row>
    <row r="897" spans="1:3" ht="11.25">
      <c r="A897" s="3" t="str">
        <f>"911.3/22/4/MASAOKA"</f>
        <v>911.3/22/4/MASAOKA</v>
      </c>
      <c r="B897" s="3" t="str">
        <f>"三春部"</f>
        <v>三春部</v>
      </c>
      <c r="C897" s="3" t="str">
        <f t="shared" si="26"/>
        <v>季寄註解改正月令博物筌 / 鳥飼洞斎 ; 正月部-二月部 - 十一月部.-- 塩屋市良治[ほか3軒]; 文化1(1804)年12月.</v>
      </c>
    </row>
    <row r="898" spans="1:3" ht="11.25">
      <c r="A898" s="3" t="str">
        <f>"911.3/22/5/MASAOKA"</f>
        <v>911.3/22/5/MASAOKA</v>
      </c>
      <c r="B898" s="3" t="str">
        <f>"四月部"</f>
        <v>四月部</v>
      </c>
      <c r="C898" s="3" t="str">
        <f t="shared" si="26"/>
        <v>季寄註解改正月令博物筌 / 鳥飼洞斎 ; 正月部-二月部 - 十一月部.-- 塩屋市良治[ほか3軒]; 文化1(1804)年12月.</v>
      </c>
    </row>
    <row r="899" spans="1:3" ht="11.25">
      <c r="A899" s="3" t="str">
        <f>"911.3/22/6/MASAOKA"</f>
        <v>911.3/22/6/MASAOKA</v>
      </c>
      <c r="B899" s="3" t="str">
        <f>"五月部"</f>
        <v>五月部</v>
      </c>
      <c r="C899" s="3" t="str">
        <f t="shared" si="26"/>
        <v>季寄註解改正月令博物筌 / 鳥飼洞斎 ; 正月部-二月部 - 十一月部.-- 塩屋市良治[ほか3軒]; 文化1(1804)年12月.</v>
      </c>
    </row>
    <row r="900" spans="1:3" ht="11.25">
      <c r="A900" s="3" t="str">
        <f>"911.3/22/7/MASAOKA"</f>
        <v>911.3/22/7/MASAOKA</v>
      </c>
      <c r="B900" s="3" t="str">
        <f>"六月部"</f>
        <v>六月部</v>
      </c>
      <c r="C900" s="3" t="str">
        <f t="shared" si="26"/>
        <v>季寄註解改正月令博物筌 / 鳥飼洞斎 ; 正月部-二月部 - 十一月部.-- 塩屋市良治[ほか3軒]; 文化1(1804)年12月.</v>
      </c>
    </row>
    <row r="901" spans="1:3" ht="11.25">
      <c r="A901" s="3" t="str">
        <f>"911.3/22/8/MASAOKA"</f>
        <v>911.3/22/8/MASAOKA</v>
      </c>
      <c r="B901" s="3" t="str">
        <f>"三夏部"</f>
        <v>三夏部</v>
      </c>
      <c r="C901" s="3" t="str">
        <f t="shared" si="26"/>
        <v>季寄註解改正月令博物筌 / 鳥飼洞斎 ; 正月部-二月部 - 十一月部.-- 塩屋市良治[ほか3軒]; 文化1(1804)年12月.</v>
      </c>
    </row>
    <row r="902" spans="1:3" ht="11.25">
      <c r="A902" s="3" t="str">
        <f>"911.3/22/9/MASAOKA"</f>
        <v>911.3/22/9/MASAOKA</v>
      </c>
      <c r="B902" s="3" t="str">
        <f>"七月部"</f>
        <v>七月部</v>
      </c>
      <c r="C902" s="3" t="str">
        <f t="shared" si="26"/>
        <v>季寄註解改正月令博物筌 / 鳥飼洞斎 ; 正月部-二月部 - 十一月部.-- 塩屋市良治[ほか3軒]; 文化1(1804)年12月.</v>
      </c>
    </row>
    <row r="903" spans="1:3" ht="11.25">
      <c r="A903" s="3" t="str">
        <f>"911.3/22/10/MASAOKA"</f>
        <v>911.3/22/10/MASAOKA</v>
      </c>
      <c r="B903" s="3" t="str">
        <f>"八月部"</f>
        <v>八月部</v>
      </c>
      <c r="C903" s="3" t="str">
        <f t="shared" si="26"/>
        <v>季寄註解改正月令博物筌 / 鳥飼洞斎 ; 正月部-二月部 - 十一月部.-- 塩屋市良治[ほか3軒]; 文化1(1804)年12月.</v>
      </c>
    </row>
    <row r="904" spans="1:3" ht="11.25">
      <c r="A904" s="3" t="str">
        <f>"911.3/22/11/MASAOKA"</f>
        <v>911.3/22/11/MASAOKA</v>
      </c>
      <c r="B904" s="3" t="str">
        <f>"九月部"</f>
        <v>九月部</v>
      </c>
      <c r="C904" s="3" t="str">
        <f t="shared" si="26"/>
        <v>季寄註解改正月令博物筌 / 鳥飼洞斎 ; 正月部-二月部 - 十一月部.-- 塩屋市良治[ほか3軒]; 文化1(1804)年12月.</v>
      </c>
    </row>
    <row r="905" spans="1:3" ht="11.25">
      <c r="A905" s="3" t="str">
        <f>"911.3/22/12/MASAOKA"</f>
        <v>911.3/22/12/MASAOKA</v>
      </c>
      <c r="B905" s="3" t="str">
        <f>"三秋部"</f>
        <v>三秋部</v>
      </c>
      <c r="C905" s="3" t="str">
        <f t="shared" si="26"/>
        <v>季寄註解改正月令博物筌 / 鳥飼洞斎 ; 正月部-二月部 - 十一月部.-- 塩屋市良治[ほか3軒]; 文化1(1804)年12月.</v>
      </c>
    </row>
    <row r="906" spans="1:3" ht="11.25">
      <c r="A906" s="3" t="str">
        <f>"911.3/22/13/MASAOKA"</f>
        <v>911.3/22/13/MASAOKA</v>
      </c>
      <c r="B906" s="3" t="str">
        <f>"十月部"</f>
        <v>十月部</v>
      </c>
      <c r="C906" s="3" t="str">
        <f t="shared" si="26"/>
        <v>季寄註解改正月令博物筌 / 鳥飼洞斎 ; 正月部-二月部 - 十一月部.-- 塩屋市良治[ほか3軒]; 文化1(1804)年12月.</v>
      </c>
    </row>
    <row r="907" spans="1:3" ht="11.25">
      <c r="A907" s="3" t="str">
        <f>"911.3/22/14/MASAOKA"</f>
        <v>911.3/22/14/MASAOKA</v>
      </c>
      <c r="B907" s="3" t="str">
        <f>"十一月部"</f>
        <v>十一月部</v>
      </c>
      <c r="C907" s="3" t="str">
        <f t="shared" si="26"/>
        <v>季寄註解改正月令博物筌 / 鳥飼洞斎 ; 正月部-二月部 - 十一月部.-- 塩屋市良治[ほか3軒]; 文化1(1804)年12月.</v>
      </c>
    </row>
    <row r="908" spans="1:3" ht="11.25">
      <c r="A908" s="3" t="str">
        <f>"911.3/22/16/MASAOKA"</f>
        <v>911.3/22/16/MASAOKA</v>
      </c>
      <c r="B908" s="3" t="str">
        <f>"三冬部"</f>
        <v>三冬部</v>
      </c>
      <c r="C908" s="3" t="str">
        <f t="shared" si="26"/>
        <v>季寄註解改正月令博物筌 / 鳥飼洞斎 ; 正月部-二月部 - 十一月部.-- 塩屋市良治[ほか3軒]; 文化1(1804)年12月.</v>
      </c>
    </row>
    <row r="909" spans="1:3" ht="11.25">
      <c r="A909" s="3" t="str">
        <f>"911.3/23//MASAOKA"</f>
        <v>911.3/23//MASAOKA</v>
      </c>
      <c r="B909" s="3">
        <f>""</f>
      </c>
      <c r="C909" s="3" t="str">
        <f>"四季詞林こしあふぎ / 駝岳編 ; 全.-- 大阪書林[ほか1軒]; 文化11(1814)年再刻."</f>
        <v>四季詞林こしあふぎ / 駝岳編 ; 全.-- 大阪書林[ほか1軒]; 文化11(1814)年再刻.</v>
      </c>
    </row>
    <row r="910" spans="1:3" ht="11.25">
      <c r="A910" s="3" t="str">
        <f>"911.3/24//MASAOKA"</f>
        <v>911.3/24//MASAOKA</v>
      </c>
      <c r="B910" s="3">
        <f>""</f>
      </c>
      <c r="C910" s="3" t="str">
        <f>"正新改刻七部集 / 孤山人卓郎編 ; 全.-- 宇竹菴五律; 文久3(1863)年7月刊."</f>
        <v>正新改刻七部集 / 孤山人卓郎編 ; 全.-- 宇竹菴五律; 文久3(1863)年7月刊.</v>
      </c>
    </row>
    <row r="911" spans="1:3" ht="11.25">
      <c r="A911" s="3" t="str">
        <f>"911.3/25//MASAOKA"</f>
        <v>911.3/25//MASAOKA</v>
      </c>
      <c r="B911" s="3">
        <f>""</f>
      </c>
      <c r="C911" s="3" t="str">
        <f>"俳句大観 / 星野麦人,小峰大羽編.-- 美育社; 明治35(1902)年3月."</f>
        <v>俳句大観 / 星野麦人,小峰大羽編.-- 美育社; 明治35(1902)年3月.</v>
      </c>
    </row>
    <row r="912" spans="1:3" ht="11.25">
      <c r="A912" s="3" t="str">
        <f>"911.3/26/4/MASAOKA"</f>
        <v>911.3/26/4/MASAOKA</v>
      </c>
      <c r="B912" s="3" t="str">
        <f>"4編"</f>
        <v>4編</v>
      </c>
      <c r="C912" s="3" t="str">
        <f>"明治符合集 / 語石庵編 ; 4編.-- [出版者不明]; 明治18(1885)年5月."</f>
        <v>明治符合集 / 語石庵編 ; 4編.-- [出版者不明]; 明治18(1885)年5月.</v>
      </c>
    </row>
    <row r="913" spans="1:3" ht="11.25">
      <c r="A913" s="3" t="str">
        <f>"911.3/27/1/MASAOKA"</f>
        <v>911.3/27/1/MASAOKA</v>
      </c>
      <c r="B913" s="3" t="str">
        <f>"上巻"</f>
        <v>上巻</v>
      </c>
      <c r="C913" s="3" t="str">
        <f>"俳諧海内人名録 / 花屋庵鼎左,五梅庵舎用編 ; 上・下巻, 上巻, 下巻.-- 播磨屋勝五郎; 万延1(1860)年9月刊."</f>
        <v>俳諧海内人名録 / 花屋庵鼎左,五梅庵舎用編 ; 上・下巻, 上巻, 下巻.-- 播磨屋勝五郎; 万延1(1860)年9月刊.</v>
      </c>
    </row>
    <row r="914" spans="1:3" ht="11.25">
      <c r="A914" s="3" t="str">
        <f>"911.3/27/2/MASAOKA"</f>
        <v>911.3/27/2/MASAOKA</v>
      </c>
      <c r="B914" s="3" t="str">
        <f>"下巻"</f>
        <v>下巻</v>
      </c>
      <c r="C914" s="3" t="str">
        <f>"俳諧海内人名録 / 花屋庵鼎左,五梅庵舎用編 ; 上・下巻, 上巻, 下巻.-- 播磨屋勝五郎; 万延1(1860)年9月刊."</f>
        <v>俳諧海内人名録 / 花屋庵鼎左,五梅庵舎用編 ; 上・下巻, 上巻, 下巻.-- 播磨屋勝五郎; 万延1(1860)年9月刊.</v>
      </c>
    </row>
    <row r="915" spans="1:3" ht="11.25">
      <c r="A915" s="3" t="str">
        <f>"911.3/28/1/MASAOKA"</f>
        <v>911.3/28/1/MASAOKA</v>
      </c>
      <c r="B915" s="3" t="str">
        <f>"上"</f>
        <v>上</v>
      </c>
      <c r="C915" s="3" t="str">
        <f>"芭蕉袖草紙 / 花屋庵奇淵編 ; 発句部・上・下 - 下.-- 河内屋源七郎[ほか2軒]; 文化8(1811)年7月刊."</f>
        <v>芭蕉袖草紙 / 花屋庵奇淵編 ; 発句部・上・下 - 下.-- 河内屋源七郎[ほか2軒]; 文化8(1811)年7月刊.</v>
      </c>
    </row>
    <row r="916" spans="1:3" ht="11.25">
      <c r="A916" s="3" t="str">
        <f>"911.3/28/2/MASAOKA"</f>
        <v>911.3/28/2/MASAOKA</v>
      </c>
      <c r="B916" s="3" t="str">
        <f>"下"</f>
        <v>下</v>
      </c>
      <c r="C916" s="3" t="str">
        <f>"芭蕉袖草紙 / 花屋庵奇淵編 ; 発句部・上・下 - 下.-- 河内屋源七郎[ほか2軒]; 文化8(1811)年7月刊."</f>
        <v>芭蕉袖草紙 / 花屋庵奇淵編 ; 発句部・上・下 - 下.-- 河内屋源七郎[ほか2軒]; 文化8(1811)年7月刊.</v>
      </c>
    </row>
    <row r="917" spans="1:3" ht="11.25">
      <c r="A917" s="3" t="str">
        <f>"911.3/28/b/MASAOKA"</f>
        <v>911.3/28/b/MASAOKA</v>
      </c>
      <c r="B917" s="3" t="str">
        <f>"発句部"</f>
        <v>発句部</v>
      </c>
      <c r="C917" s="3" t="str">
        <f>"芭蕉袖草紙 / 花屋庵奇淵編 ; 発句部・上・下 - 下.-- 河内屋源七郎[ほか2軒]; 文化8(1811)年7月刊."</f>
        <v>芭蕉袖草紙 / 花屋庵奇淵編 ; 発句部・上・下 - 下.-- 河内屋源七郎[ほか2軒]; 文化8(1811)年7月刊.</v>
      </c>
    </row>
    <row r="918" spans="1:3" ht="11.25">
      <c r="A918" s="3" t="str">
        <f>"911.3/29/1/MASAOKA"</f>
        <v>911.3/29/1/MASAOKA</v>
      </c>
      <c r="B918" s="3" t="str">
        <f>"上巻"</f>
        <v>上巻</v>
      </c>
      <c r="C918" s="3" t="str">
        <f>"誹諧通俗志 / 児島胤矩編 ; 上・下巻, 上巻, 下巻.-- 油屋興兵衛[ほか3軒]; 享保1(1716)年11月[刊]."</f>
        <v>誹諧通俗志 / 児島胤矩編 ; 上・下巻, 上巻, 下巻.-- 油屋興兵衛[ほか3軒]; 享保1(1716)年11月[刊].</v>
      </c>
    </row>
    <row r="919" spans="1:3" ht="11.25">
      <c r="A919" s="3" t="str">
        <f>"911.3/29/2/MASAOKA"</f>
        <v>911.3/29/2/MASAOKA</v>
      </c>
      <c r="B919" s="3" t="str">
        <f>"下巻"</f>
        <v>下巻</v>
      </c>
      <c r="C919" s="3" t="str">
        <f>"誹諧通俗志 / 児島胤矩編 ; 上・下巻, 上巻, 下巻.-- 油屋興兵衛[ほか3軒]; 享保1(1716)年11月[刊]."</f>
        <v>誹諧通俗志 / 児島胤矩編 ; 上・下巻, 上巻, 下巻.-- 油屋興兵衛[ほか3軒]; 享保1(1716)年11月[刊].</v>
      </c>
    </row>
    <row r="920" spans="1:3" ht="14.25" customHeight="1">
      <c r="A920" s="3" t="str">
        <f>"911.3/30/1/MASAOKA"</f>
        <v>911.3/30/1/MASAOKA</v>
      </c>
      <c r="B920" s="3" t="str">
        <f>"上巻"</f>
        <v>上巻</v>
      </c>
      <c r="C920" s="3" t="str">
        <f>"俳諧大三ツ物 / 言水編 ; 上・下巻, 上巻, 下巻.-- 井筒屋庄兵衛; 元祿2(1689)年1月."</f>
        <v>俳諧大三ツ物 / 言水編 ; 上・下巻, 上巻, 下巻.-- 井筒屋庄兵衛; 元祿2(1689)年1月.</v>
      </c>
    </row>
    <row r="921" spans="1:3" ht="11.25">
      <c r="A921" s="3" t="str">
        <f>"911.3/30/2/MASAOKA"</f>
        <v>911.3/30/2/MASAOKA</v>
      </c>
      <c r="B921" s="3" t="str">
        <f>"下巻"</f>
        <v>下巻</v>
      </c>
      <c r="C921" s="3" t="str">
        <f>"俳諧大三ツ物 / 言水編 ; 上・下巻, 上巻, 下巻.-- 井筒屋庄兵衛; 元祿2(1689)年1月."</f>
        <v>俳諧大三ツ物 / 言水編 ; 上・下巻, 上巻, 下巻.-- 井筒屋庄兵衛; 元祿2(1689)年1月.</v>
      </c>
    </row>
    <row r="922" spans="1:3" ht="11.25">
      <c r="A922" s="3" t="str">
        <f>"911.3/31/1/MASAOKA"</f>
        <v>911.3/31/1/MASAOKA</v>
      </c>
      <c r="B922" s="3" t="str">
        <f>"1巻"</f>
        <v>1巻</v>
      </c>
      <c r="C922" s="3" t="str">
        <f>"誹諧毛吹草 / 松江重頼編 ; 1-5巻 - 5巻.-- [出版者不明]; 明暦1(1655)年11月刊."</f>
        <v>誹諧毛吹草 / 松江重頼編 ; 1-5巻 - 5巻.-- [出版者不明]; 明暦1(1655)年11月刊.</v>
      </c>
    </row>
    <row r="923" spans="1:3" ht="11.25">
      <c r="A923" s="3" t="str">
        <f>"911.3/31/2/MASAOKA"</f>
        <v>911.3/31/2/MASAOKA</v>
      </c>
      <c r="B923" s="3" t="str">
        <f>"2巻"</f>
        <v>2巻</v>
      </c>
      <c r="C923" s="3" t="str">
        <f>"誹諧毛吹草 / 松江重頼編 ; 1-5巻 - 5巻.-- [出版者不明]; 明暦1(1655)年11月刊."</f>
        <v>誹諧毛吹草 / 松江重頼編 ; 1-5巻 - 5巻.-- [出版者不明]; 明暦1(1655)年11月刊.</v>
      </c>
    </row>
    <row r="924" spans="1:3" ht="11.25">
      <c r="A924" s="3" t="str">
        <f>"911.3/31/3/MASAOKA"</f>
        <v>911.3/31/3/MASAOKA</v>
      </c>
      <c r="B924" s="3" t="str">
        <f>"3巻"</f>
        <v>3巻</v>
      </c>
      <c r="C924" s="3" t="str">
        <f>"誹諧毛吹草 / 松江重頼編 ; 1-5巻 - 5巻.-- [出版者不明]; 明暦1(1655)年11月刊."</f>
        <v>誹諧毛吹草 / 松江重頼編 ; 1-5巻 - 5巻.-- [出版者不明]; 明暦1(1655)年11月刊.</v>
      </c>
    </row>
    <row r="925" spans="1:3" ht="11.25">
      <c r="A925" s="3" t="str">
        <f>"911.3/31/4/MASAOKA"</f>
        <v>911.3/31/4/MASAOKA</v>
      </c>
      <c r="B925" s="3" t="str">
        <f>"4巻"</f>
        <v>4巻</v>
      </c>
      <c r="C925" s="3" t="str">
        <f>"誹諧毛吹草 / 松江重頼編 ; 1-5巻 - 5巻.-- [出版者不明]; 明暦1(1655)年11月刊."</f>
        <v>誹諧毛吹草 / 松江重頼編 ; 1-5巻 - 5巻.-- [出版者不明]; 明暦1(1655)年11月刊.</v>
      </c>
    </row>
    <row r="926" spans="1:3" ht="11.25">
      <c r="A926" s="3" t="str">
        <f>"911.3/31/5/MASAOKA"</f>
        <v>911.3/31/5/MASAOKA</v>
      </c>
      <c r="B926" s="3" t="str">
        <f>"5巻"</f>
        <v>5巻</v>
      </c>
      <c r="C926" s="3" t="str">
        <f>"誹諧毛吹草 / 松江重頼編 ; 1-5巻 - 5巻.-- [出版者不明]; 明暦1(1655)年11月刊."</f>
        <v>誹諧毛吹草 / 松江重頼編 ; 1-5巻 - 5巻.-- [出版者不明]; 明暦1(1655)年11月刊.</v>
      </c>
    </row>
    <row r="927" spans="1:3" ht="11.25">
      <c r="A927" s="3" t="str">
        <f>"911.3/32/1/MASAOKA"</f>
        <v>911.3/32/1/MASAOKA</v>
      </c>
      <c r="B927" s="3" t="str">
        <f>"1-2巻"</f>
        <v>1-2巻</v>
      </c>
      <c r="C927" s="3" t="str">
        <f>"誹諧御傘 / 松永貞徳 ; 1-2巻 - 9-10巻.-- 帝畿宣風坊書林; [1---]."</f>
        <v>誹諧御傘 / 松永貞徳 ; 1-2巻 - 9-10巻.-- 帝畿宣風坊書林; [1---].</v>
      </c>
    </row>
    <row r="928" spans="1:3" ht="11.25">
      <c r="A928" s="3" t="str">
        <f>"911.3/32/2/MASAOKA"</f>
        <v>911.3/32/2/MASAOKA</v>
      </c>
      <c r="B928" s="3" t="str">
        <f>"3-4巻"</f>
        <v>3-4巻</v>
      </c>
      <c r="C928" s="3" t="str">
        <f>"誹諧御傘 / 松永貞徳 ; 1-2巻 - 9-10巻.-- 帝畿宣風坊書林; [1---]."</f>
        <v>誹諧御傘 / 松永貞徳 ; 1-2巻 - 9-10巻.-- 帝畿宣風坊書林; [1---].</v>
      </c>
    </row>
    <row r="929" spans="1:3" ht="11.25">
      <c r="A929" s="3" t="str">
        <f>"911.3/32/4/MASAOKA"</f>
        <v>911.3/32/4/MASAOKA</v>
      </c>
      <c r="B929" s="3" t="str">
        <f>"7-8巻"</f>
        <v>7-8巻</v>
      </c>
      <c r="C929" s="3" t="str">
        <f>"誹諧御傘 / 松永貞徳 ; 1-2巻 - 9-10巻.-- 帝畿宣風坊書林; [1---]."</f>
        <v>誹諧御傘 / 松永貞徳 ; 1-2巻 - 9-10巻.-- 帝畿宣風坊書林; [1---].</v>
      </c>
    </row>
    <row r="930" spans="1:3" ht="11.25">
      <c r="A930" s="3" t="str">
        <f>"911.3/32/5/MASAOKA"</f>
        <v>911.3/32/5/MASAOKA</v>
      </c>
      <c r="B930" s="3" t="str">
        <f>"9-10巻"</f>
        <v>9-10巻</v>
      </c>
      <c r="C930" s="3" t="str">
        <f>"誹諧御傘 / 松永貞徳 ; 1-2巻 - 9-10巻.-- 帝畿宣風坊書林; [1---]."</f>
        <v>誹諧御傘 / 松永貞徳 ; 1-2巻 - 9-10巻.-- 帝畿宣風坊書林; [1---].</v>
      </c>
    </row>
    <row r="931" spans="1:3" ht="11.25">
      <c r="A931" s="3" t="str">
        <f>"911.3/33//MASAOKA"</f>
        <v>911.3/33//MASAOKA</v>
      </c>
      <c r="B931" s="3">
        <f>""</f>
      </c>
      <c r="C931" s="3" t="str">
        <f>"文化十一年歳旦帳 / 練々舎志雪等編.-- [出版者不明]; 文化11(1814)年刊."</f>
        <v>文化十一年歳旦帳 / 練々舎志雪等編.-- [出版者不明]; 文化11(1814)年刊.</v>
      </c>
    </row>
    <row r="932" spans="1:3" ht="11.25">
      <c r="A932" s="3" t="str">
        <f>"911.3/34//MASAOKA"</f>
        <v>911.3/34//MASAOKA</v>
      </c>
      <c r="B932" s="3">
        <f>""</f>
      </c>
      <c r="C932" s="3" t="str">
        <f>"俳諧種瓢 / 春秋園大年編 ; 全.-- 藤屋善七; 嘉永6(1853)年8月."</f>
        <v>俳諧種瓢 / 春秋園大年編 ; 全.-- 藤屋善七; 嘉永6(1853)年8月.</v>
      </c>
    </row>
    <row r="933" spans="1:3" ht="11.25">
      <c r="A933" s="3" t="str">
        <f>"911.3/35//MASAOKA"</f>
        <v>911.3/35//MASAOKA</v>
      </c>
      <c r="B933" s="3">
        <f>""</f>
      </c>
      <c r="C933" s="3" t="str">
        <f>"歳旦帳 / 蝶々庵百花編 ; 安永4.-- 書林英紫房; 安永4(1775)年刊."</f>
        <v>歳旦帳 / 蝶々庵百花編 ; 安永4.-- 書林英紫房; 安永4(1775)年刊.</v>
      </c>
    </row>
    <row r="934" spans="1:3" ht="11.25">
      <c r="A934" s="3" t="str">
        <f>"911.3/36/1/MASAOKA"</f>
        <v>911.3/36/1/MASAOKA</v>
      </c>
      <c r="B934" s="3" t="str">
        <f>"第1"</f>
        <v>第1</v>
      </c>
      <c r="C934" s="3" t="str">
        <f>"鷹築波集 / [西武撰] ; 第1-3 - 第3.-- [出版者不明]; [寛永19(1642)年刊]."</f>
        <v>鷹築波集 / [西武撰] ; 第1-3 - 第3.-- [出版者不明]; [寛永19(1642)年刊].</v>
      </c>
    </row>
    <row r="935" spans="1:3" ht="11.25">
      <c r="A935" s="3" t="str">
        <f>"911.3/36/2/MASAOKA"</f>
        <v>911.3/36/2/MASAOKA</v>
      </c>
      <c r="B935" s="3" t="str">
        <f>"第2"</f>
        <v>第2</v>
      </c>
      <c r="C935" s="3" t="str">
        <f>"鷹築波集 / [西武撰] ; 第1-3 - 第3.-- [出版者不明]; [寛永19(1642)年刊]."</f>
        <v>鷹築波集 / [西武撰] ; 第1-3 - 第3.-- [出版者不明]; [寛永19(1642)年刊].</v>
      </c>
    </row>
    <row r="936" spans="1:3" ht="11.25">
      <c r="A936" s="3" t="str">
        <f>"911.3/36/3/MASAOKA"</f>
        <v>911.3/36/3/MASAOKA</v>
      </c>
      <c r="B936" s="3" t="str">
        <f>"第3"</f>
        <v>第3</v>
      </c>
      <c r="C936" s="3" t="str">
        <f>"鷹築波集 / [西武撰] ; 第1-3 - 第3.-- [出版者不明]; [寛永19(1642)年刊]."</f>
        <v>鷹築波集 / [西武撰] ; 第1-3 - 第3.-- [出版者不明]; [寛永19(1642)年刊].</v>
      </c>
    </row>
    <row r="937" spans="1:3" ht="11.25">
      <c r="A937" s="3" t="str">
        <f>"911.3/37//MASAOKA"</f>
        <v>911.3/37//MASAOKA</v>
      </c>
      <c r="B937" s="3" t="str">
        <f>"1巻"</f>
        <v>1巻</v>
      </c>
      <c r="C937" s="3" t="str">
        <f>"誹諧こまさらえ / 千載堂丈士房編 ; 1巻.-- [出版者不明]; 寛政7(1795)年9月序刊."</f>
        <v>誹諧こまさらえ / 千載堂丈士房編 ; 1巻.-- [出版者不明]; 寛政7(1795)年9月序刊.</v>
      </c>
    </row>
    <row r="938" spans="1:3" ht="11.25">
      <c r="A938" s="3" t="str">
        <f>"911.3/38//MASAOKA"</f>
        <v>911.3/38//MASAOKA</v>
      </c>
      <c r="B938" s="3">
        <f>""</f>
      </c>
      <c r="C938" s="3" t="str">
        <f>"歳旦帳 / 綾雨庵夕静[ほか]編 ; 宝暦11.-- [出版者不明]; 宝暦11(1761)年刊."</f>
        <v>歳旦帳 / 綾雨庵夕静[ほか]編 ; 宝暦11.-- [出版者不明]; 宝暦11(1761)年刊.</v>
      </c>
    </row>
    <row r="939" spans="1:3" ht="11.25">
      <c r="A939" s="3" t="str">
        <f>"911.3/39//MASAOKA"</f>
        <v>911.3/39//MASAOKA</v>
      </c>
      <c r="B939" s="3">
        <f>""</f>
      </c>
      <c r="C939" s="3" t="str">
        <f>"幻住庵記 / 松尾芭蕉著.-- [出版者不明]; [元禄3(1690)年8月成立]."</f>
        <v>幻住庵記 / 松尾芭蕉著.-- [出版者不明]; [元禄3(1690)年8月成立].</v>
      </c>
    </row>
    <row r="940" spans="1:3" ht="11.25">
      <c r="A940" s="3" t="str">
        <f>"911.3/40/2/MASAOKA"</f>
        <v>911.3/40/2/MASAOKA</v>
      </c>
      <c r="B940" s="3" t="str">
        <f>"第2篇"</f>
        <v>第2篇</v>
      </c>
      <c r="C940" s="3" t="str">
        <f>"俳文友垣集 / 染谷恭輔編 ; 第2篇.-- 染谷恭輔; 明治17(1884)年3月."</f>
        <v>俳文友垣集 / 染谷恭輔編 ; 第2篇.-- 染谷恭輔; 明治17(1884)年3月.</v>
      </c>
    </row>
    <row r="941" spans="1:3" ht="11.25">
      <c r="A941" s="3" t="str">
        <f>"911.3/41/1/MASAOKA"</f>
        <v>911.3/41/1/MASAOKA</v>
      </c>
      <c r="B941" s="3" t="str">
        <f>"上"</f>
        <v>上</v>
      </c>
      <c r="C941" s="3" t="str">
        <f>"俳諧七部集 / 精衛道人校 ; 上.-- 向陽樓; [安政年間(1854~1860)補刻]."</f>
        <v>俳諧七部集 / 精衛道人校 ; 上.-- 向陽樓; [安政年間(1854~1860)補刻].</v>
      </c>
    </row>
    <row r="942" spans="1:3" ht="11.25">
      <c r="A942" s="3" t="str">
        <f>"911.3/42/1/MASAOKA"</f>
        <v>911.3/42/1/MASAOKA</v>
      </c>
      <c r="B942" s="3" t="str">
        <f>"上"</f>
        <v>上</v>
      </c>
      <c r="C942" s="3" t="str">
        <f>"俳諧七部集  / [松尾芭蕉著] ; 上, [下].-- 筒井庄兵衞 : 浦井徳右衞門 : 野田治兵衞; 文化5.11[1808][刊]."</f>
        <v>俳諧七部集  / [松尾芭蕉著] ; 上, [下].-- 筒井庄兵衞 : 浦井徳右衞門 : 野田治兵衞; 文化5.11[1808][刊].</v>
      </c>
    </row>
    <row r="943" spans="1:3" ht="11.25">
      <c r="A943" s="3" t="str">
        <f>"911.3/44//MASAOKA"</f>
        <v>911.3/44//MASAOKA</v>
      </c>
      <c r="B943" s="3" t="str">
        <f>"[下]"</f>
        <v>[下]</v>
      </c>
      <c r="C943" s="3" t="str">
        <f>"俳諧七部集  / [松尾芭蕉著] ; 上, [下].-- 筒井庄兵衞 : 浦井徳右衞門 : 野田治兵衞; 文化5.11[1808][刊]."</f>
        <v>俳諧七部集  / [松尾芭蕉著] ; 上, [下].-- 筒井庄兵衞 : 浦井徳右衞門 : 野田治兵衞; 文化5.11[1808][刊].</v>
      </c>
    </row>
    <row r="944" spans="1:3" ht="11.25">
      <c r="A944" s="3" t="str">
        <f>"911.3/43/1/MASAOKA"</f>
        <v>911.3/43/1/MASAOKA</v>
      </c>
      <c r="B944" s="3" t="str">
        <f>"上"</f>
        <v>上</v>
      </c>
      <c r="C944" s="3" t="str">
        <f>"乙二七部集 / 豊島由誓編 ; 上・下, 上, 下.-- 青雲堂[ほか10軒]; 天保6(1835)年."</f>
        <v>乙二七部集 / 豊島由誓編 ; 上・下, 上, 下.-- 青雲堂[ほか10軒]; 天保6(1835)年.</v>
      </c>
    </row>
    <row r="945" spans="1:3" ht="11.25">
      <c r="A945" s="3" t="str">
        <f>"911.3/43/2/MASAOKA"</f>
        <v>911.3/43/2/MASAOKA</v>
      </c>
      <c r="B945" s="3" t="str">
        <f>"下"</f>
        <v>下</v>
      </c>
      <c r="C945" s="3" t="str">
        <f>"乙二七部集 / 豊島由誓編 ; 上・下, 上, 下.-- 青雲堂[ほか10軒]; 天保6(1835)年."</f>
        <v>乙二七部集 / 豊島由誓編 ; 上・下, 上, 下.-- 青雲堂[ほか10軒]; 天保6(1835)年.</v>
      </c>
    </row>
    <row r="946" spans="1:3" ht="11.25">
      <c r="A946" s="3" t="str">
        <f>"911.3/45/1/MASAOKA"</f>
        <v>911.3/45/1/MASAOKA</v>
      </c>
      <c r="B946" s="3" t="str">
        <f>"上"</f>
        <v>上</v>
      </c>
      <c r="C946" s="3" t="str">
        <f>"俳諧新七部集 / 酔室其成編 ; 上・中・下 - 下.-- 伊丹屋善兵衛[ほか6軒]; 文政11(1828)年1月刊."</f>
        <v>俳諧新七部集 / 酔室其成編 ; 上・中・下 - 下.-- 伊丹屋善兵衛[ほか6軒]; 文政11(1828)年1月刊.</v>
      </c>
    </row>
    <row r="947" spans="1:3" ht="11.25">
      <c r="A947" s="3" t="str">
        <f>"911.3/45/2/MASAOKA"</f>
        <v>911.3/45/2/MASAOKA</v>
      </c>
      <c r="B947" s="3" t="str">
        <f>"中"</f>
        <v>中</v>
      </c>
      <c r="C947" s="3" t="str">
        <f>"俳諧新七部集 / 酔室其成編 ; 上・中・下 - 下.-- 伊丹屋善兵衛[ほか6軒]; 文政11(1828)年1月刊."</f>
        <v>俳諧新七部集 / 酔室其成編 ; 上・中・下 - 下.-- 伊丹屋善兵衛[ほか6軒]; 文政11(1828)年1月刊.</v>
      </c>
    </row>
    <row r="948" spans="1:3" ht="11.25">
      <c r="A948" s="3" t="str">
        <f>"911.3/45/3/MASAOKA"</f>
        <v>911.3/45/3/MASAOKA</v>
      </c>
      <c r="B948" s="3" t="str">
        <f>"下"</f>
        <v>下</v>
      </c>
      <c r="C948" s="3" t="str">
        <f>"俳諧新七部集 / 酔室其成編 ; 上・中・下 - 下.-- 伊丹屋善兵衛[ほか6軒]; 文政11(1828)年1月刊."</f>
        <v>俳諧新七部集 / 酔室其成編 ; 上・中・下 - 下.-- 伊丹屋善兵衛[ほか6軒]; 文政11(1828)年1月刊.</v>
      </c>
    </row>
    <row r="949" spans="1:3" ht="11.25">
      <c r="A949" s="3" t="str">
        <f>"911.3/46/1/MASAOKA"</f>
        <v>911.3/46/1/MASAOKA</v>
      </c>
      <c r="B949" s="3" t="str">
        <f>"上"</f>
        <v>上</v>
      </c>
      <c r="C949" s="3" t="str">
        <f>"誹諧其角七部集 / 西村源六編 ; 上・下, 上, 下.-- 勝村伊兵衛[ほか9軒]; 天明8(1788)年成立."</f>
        <v>誹諧其角七部集 / 西村源六編 ; 上・下, 上, 下.-- 勝村伊兵衛[ほか9軒]; 天明8(1788)年成立.</v>
      </c>
    </row>
    <row r="950" spans="1:3" ht="11.25">
      <c r="A950" s="3" t="str">
        <f>"911.3/46/2/MASAOKA"</f>
        <v>911.3/46/2/MASAOKA</v>
      </c>
      <c r="B950" s="3" t="str">
        <f>"下"</f>
        <v>下</v>
      </c>
      <c r="C950" s="3" t="str">
        <f>"誹諧其角七部集 / 西村源六編 ; 上・下, 上, 下.-- 勝村伊兵衛[ほか9軒]; 天明8(1788)年成立."</f>
        <v>誹諧其角七部集 / 西村源六編 ; 上・下, 上, 下.-- 勝村伊兵衛[ほか9軒]; 天明8(1788)年成立.</v>
      </c>
    </row>
    <row r="951" spans="1:3" ht="11.25">
      <c r="A951" s="3" t="str">
        <f>"911.3/47/1/MASAOKA"</f>
        <v>911.3/47/1/MASAOKA</v>
      </c>
      <c r="B951" s="3" t="str">
        <f>"上"</f>
        <v>上</v>
      </c>
      <c r="C951" s="3" t="str">
        <f>"俳諧続七部集 / 高桑闌更編 ; 上・下, 上, 下.-- 橘屋治兵衛[ほか2軒]; 享和3(1803)年9月刊."</f>
        <v>俳諧続七部集 / 高桑闌更編 ; 上・下, 上, 下.-- 橘屋治兵衛[ほか2軒]; 享和3(1803)年9月刊.</v>
      </c>
    </row>
    <row r="952" spans="1:3" ht="11.25">
      <c r="A952" s="3" t="str">
        <f>"911.3/47/2/MASAOKA"</f>
        <v>911.3/47/2/MASAOKA</v>
      </c>
      <c r="B952" s="3" t="str">
        <f>"下"</f>
        <v>下</v>
      </c>
      <c r="C952" s="3" t="str">
        <f>"俳諧続七部集 / 高桑闌更編 ; 上・下, 上, 下.-- 橘屋治兵衛[ほか2軒]; 享和3(1803)年9月刊."</f>
        <v>俳諧続七部集 / 高桑闌更編 ; 上・下, 上, 下.-- 橘屋治兵衛[ほか2軒]; 享和3(1803)年9月刊.</v>
      </c>
    </row>
    <row r="953" spans="1:3" ht="11.25">
      <c r="A953" s="3" t="str">
        <f>"911.3/48/1/MASAOKA"</f>
        <v>911.3/48/1/MASAOKA</v>
      </c>
      <c r="B953" s="3" t="str">
        <f>"上"</f>
        <v>上</v>
      </c>
      <c r="C953" s="3" t="str">
        <f>"俳諧続七部集 / 高桑闌更編 ; 上・下, 上, 下.-- 橘屋治兵衛[ほか2軒]; 享和3(1803)年9月刊."</f>
        <v>俳諧続七部集 / 高桑闌更編 ; 上・下, 上, 下.-- 橘屋治兵衛[ほか2軒]; 享和3(1803)年9月刊.</v>
      </c>
    </row>
    <row r="954" spans="1:3" ht="11.25">
      <c r="A954" s="3" t="str">
        <f>"911.3/48/2/MASAOKA"</f>
        <v>911.3/48/2/MASAOKA</v>
      </c>
      <c r="B954" s="3" t="str">
        <f>"下"</f>
        <v>下</v>
      </c>
      <c r="C954" s="3" t="str">
        <f>"俳諧続七部集 / 高桑闌更編 ; 上・下, 上, 下.-- 橘屋治兵衛[ほか2軒]; 享和3(1803)年9月刊."</f>
        <v>俳諧続七部集 / 高桑闌更編 ; 上・下, 上, 下.-- 橘屋治兵衛[ほか2軒]; 享和3(1803)年9月刊.</v>
      </c>
    </row>
    <row r="955" spans="1:3" ht="11.25">
      <c r="A955" s="3" t="str">
        <f>"911.3/49/1/MASAOKA"</f>
        <v>911.3/49/1/MASAOKA</v>
      </c>
      <c r="B955" s="3" t="str">
        <f>"上"</f>
        <v>上</v>
      </c>
      <c r="C955" s="3" t="str">
        <f>"俳諧発句明治集 / 内海良大撰 ; 上・下, 上, 下.-- 探古堂; 明治13(1880)年10月刊."</f>
        <v>俳諧発句明治集 / 内海良大撰 ; 上・下, 上, 下.-- 探古堂; 明治13(1880)年10月刊.</v>
      </c>
    </row>
    <row r="956" spans="1:3" ht="11.25">
      <c r="A956" s="3" t="str">
        <f>"911.3/49/2/MASAOKA"</f>
        <v>911.3/49/2/MASAOKA</v>
      </c>
      <c r="B956" s="3" t="str">
        <f>"下"</f>
        <v>下</v>
      </c>
      <c r="C956" s="3" t="str">
        <f>"俳諧発句明治集 / 内海良大撰 ; 上・下, 上, 下.-- 探古堂; 明治13(1880)年10月刊."</f>
        <v>俳諧発句明治集 / 内海良大撰 ; 上・下, 上, 下.-- 探古堂; 明治13(1880)年10月刊.</v>
      </c>
    </row>
    <row r="957" spans="1:3" ht="11.25">
      <c r="A957" s="3" t="str">
        <f>"911.3/50/1/MASAOKA"</f>
        <v>911.3/50/1/MASAOKA</v>
      </c>
      <c r="B957" s="3" t="str">
        <f>"上"</f>
        <v>上</v>
      </c>
      <c r="C957" s="3" t="str">
        <f>"俳諧いとまき大成 / 起丸編 ; 上・下, 上, 下.-- 勝村治右衛門[ほか1軒]; 寛政7(1795)年4月."</f>
        <v>俳諧いとまき大成 / 起丸編 ; 上・下, 上, 下.-- 勝村治右衛門[ほか1軒]; 寛政7(1795)年4月.</v>
      </c>
    </row>
    <row r="958" spans="1:3" ht="11.25">
      <c r="A958" s="3" t="str">
        <f>"911.3/50/2/MASAOKA"</f>
        <v>911.3/50/2/MASAOKA</v>
      </c>
      <c r="B958" s="3" t="str">
        <f>"下"</f>
        <v>下</v>
      </c>
      <c r="C958" s="3" t="str">
        <f>"俳諧いとまき大成 / 起丸編 ; 上・下, 上, 下.-- 勝村治右衛門[ほか1軒]; 寛政7(1795)年4月."</f>
        <v>俳諧いとまき大成 / 起丸編 ; 上・下, 上, 下.-- 勝村治右衛門[ほか1軒]; 寛政7(1795)年4月.</v>
      </c>
    </row>
    <row r="959" spans="1:3" ht="11.25">
      <c r="A959" s="3" t="str">
        <f>"911.3/51/1/MASAOKA"</f>
        <v>911.3/51/1/MASAOKA</v>
      </c>
      <c r="B959" s="3" t="str">
        <f>"乾"</f>
        <v>乾</v>
      </c>
      <c r="C959" s="3" t="str">
        <f>"細訂増続誹諧山乃井 / 北村季吟編 ; 乾, 坤.-- 花屋旧次郎; 文化13(1816)年9月序."</f>
        <v>細訂増続誹諧山乃井 / 北村季吟編 ; 乾, 坤.-- 花屋旧次郎; 文化13(1816)年9月序.</v>
      </c>
    </row>
    <row r="960" spans="1:3" ht="11.25">
      <c r="A960" s="3" t="str">
        <f>"911.3/51/2/MASAOKA"</f>
        <v>911.3/51/2/MASAOKA</v>
      </c>
      <c r="B960" s="3" t="str">
        <f>"坤"</f>
        <v>坤</v>
      </c>
      <c r="C960" s="3" t="str">
        <f>"細訂増続誹諧山乃井 / 北村季吟編 ; 乾, 坤.-- 花屋旧次郎; 文化13(1816)年9月序."</f>
        <v>細訂増続誹諧山乃井 / 北村季吟編 ; 乾, 坤.-- 花屋旧次郎; 文化13(1816)年9月序.</v>
      </c>
    </row>
    <row r="961" spans="1:3" ht="11.25">
      <c r="A961" s="3" t="str">
        <f>"911.3/52/1/MASAOKA"</f>
        <v>911.3/52/1/MASAOKA</v>
      </c>
      <c r="B961" s="3" t="str">
        <f>"上"</f>
        <v>上</v>
      </c>
      <c r="C961" s="3" t="str">
        <f>"俳諧暁山集 / 応々翁芳山著 ; 上・下, 上, 下.-- 新井弥兵衛; 元禄13(1700)年1月."</f>
        <v>俳諧暁山集 / 応々翁芳山著 ; 上・下, 上, 下.-- 新井弥兵衛; 元禄13(1700)年1月.</v>
      </c>
    </row>
    <row r="962" spans="1:3" ht="11.25">
      <c r="A962" s="3" t="str">
        <f>"911.3/52/2/MASAOKA"</f>
        <v>911.3/52/2/MASAOKA</v>
      </c>
      <c r="B962" s="3" t="str">
        <f>"下"</f>
        <v>下</v>
      </c>
      <c r="C962" s="3" t="str">
        <f>"俳諧暁山集 / 応々翁芳山著 ; 上・下, 上, 下.-- 新井弥兵衛; 元禄13(1700)年1月."</f>
        <v>俳諧暁山集 / 応々翁芳山著 ; 上・下, 上, 下.-- 新井弥兵衛; 元禄13(1700)年1月.</v>
      </c>
    </row>
    <row r="963" spans="1:3" ht="11.25">
      <c r="A963" s="3" t="str">
        <f>"911.3/53/1/MASAOKA"</f>
        <v>911.3/53/1/MASAOKA</v>
      </c>
      <c r="B963" s="3" t="str">
        <f>"上"</f>
        <v>上</v>
      </c>
      <c r="C963" s="3" t="str">
        <f>"暁台七部集初編 / 米園庭雅編 ; 上・下 - 下.-- [出版者不明]; 文政12ー天保2(1829-1831)年."</f>
        <v>暁台七部集初編 / 米園庭雅編 ; 上・下 - 下.-- [出版者不明]; 文政12ー天保2(1829-1831)年.</v>
      </c>
    </row>
    <row r="964" spans="1:3" ht="11.25">
      <c r="A964" s="3" t="str">
        <f>"911.3/53/2/MASAOKA"</f>
        <v>911.3/53/2/MASAOKA</v>
      </c>
      <c r="B964" s="3" t="str">
        <f>"2"</f>
        <v>2</v>
      </c>
      <c r="C964" s="3" t="str">
        <f>"暁台七部集初編 / 米園庭雅編 ; 上・下 - 下.-- [出版者不明]; 文政12ー天保2(1829-1831)年."</f>
        <v>暁台七部集初編 / 米園庭雅編 ; 上・下 - 下.-- [出版者不明]; 文政12ー天保2(1829-1831)年.</v>
      </c>
    </row>
    <row r="965" spans="1:3" ht="11.25">
      <c r="A965" s="3" t="str">
        <f>"911.3/53/2b/MASAOKA"</f>
        <v>911.3/53/2b/MASAOKA</v>
      </c>
      <c r="B965" s="3" t="str">
        <f>"下"</f>
        <v>下</v>
      </c>
      <c r="C965" s="3" t="str">
        <f>"暁台七部集初編 / 米園庭雅編 ; 上・下 - 下.-- [出版者不明]; 文政12ー天保2(1829-1831)年."</f>
        <v>暁台七部集初編 / 米園庭雅編 ; 上・下 - 下.-- [出版者不明]; 文政12ー天保2(1829-1831)年.</v>
      </c>
    </row>
    <row r="966" spans="1:3" ht="11.25">
      <c r="A966" s="3" t="str">
        <f>"911.3/54/1/MASAOKA"</f>
        <v>911.3/54/1/MASAOKA</v>
      </c>
      <c r="B966" s="3" t="str">
        <f>"上"</f>
        <v>上</v>
      </c>
      <c r="C966" s="3" t="str">
        <f>"俳諧今人五百題 / 東冥編,千輅校合 ; 上・下, 上, 下.-- 青雲堂; 天保12(1841)年6月序."</f>
        <v>俳諧今人五百題 / 東冥編,千輅校合 ; 上・下, 上, 下.-- 青雲堂; 天保12(1841)年6月序.</v>
      </c>
    </row>
    <row r="967" spans="1:3" ht="11.25">
      <c r="A967" s="3" t="str">
        <f>"911.3/54/2/MASAOKA"</f>
        <v>911.3/54/2/MASAOKA</v>
      </c>
      <c r="B967" s="3" t="str">
        <f>"下"</f>
        <v>下</v>
      </c>
      <c r="C967" s="3" t="str">
        <f>"俳諧今人五百題 / 東冥編,千輅校合 ; 上・下, 上, 下.-- 青雲堂; 天保12(1841)年6月序."</f>
        <v>俳諧今人五百題 / 東冥編,千輅校合 ; 上・下, 上, 下.-- 青雲堂; 天保12(1841)年6月序.</v>
      </c>
    </row>
    <row r="968" spans="1:3" ht="11.25">
      <c r="A968" s="3" t="str">
        <f>"911.3/55/1/MASAOKA"</f>
        <v>911.3/55/1/MASAOKA</v>
      </c>
      <c r="B968" s="3" t="str">
        <f>"上"</f>
        <v>上</v>
      </c>
      <c r="C968" s="3" t="str">
        <f>"俳諧嘉永五百題 / 愛川居菊朗撰 ; 上・下, 上, 下.-- 青雲堂; [嘉永2(1849)年秋成立]."</f>
        <v>俳諧嘉永五百題 / 愛川居菊朗撰 ; 上・下, 上, 下.-- 青雲堂; [嘉永2(1849)年秋成立].</v>
      </c>
    </row>
    <row r="969" spans="1:3" ht="11.25">
      <c r="A969" s="3" t="str">
        <f>"911.3/55/2/MASAOKA"</f>
        <v>911.3/55/2/MASAOKA</v>
      </c>
      <c r="B969" s="3" t="str">
        <f>"下"</f>
        <v>下</v>
      </c>
      <c r="C969" s="3" t="str">
        <f>"俳諧嘉永五百題 / 愛川居菊朗撰 ; 上・下, 上, 下.-- 青雲堂; [嘉永2(1849)年秋成立]."</f>
        <v>俳諧嘉永五百題 / 愛川居菊朗撰 ; 上・下, 上, 下.-- 青雲堂; [嘉永2(1849)年秋成立].</v>
      </c>
    </row>
    <row r="970" spans="1:3" ht="11.25">
      <c r="A970" s="3" t="str">
        <f>"911.3/56/1/MASAOKA"</f>
        <v>911.3/56/1/MASAOKA</v>
      </c>
      <c r="B970" s="3" t="str">
        <f>"上"</f>
        <v>上</v>
      </c>
      <c r="C970" s="3" t="str">
        <f>"俳諧発句八百題 / 潮堂佳一編 ; 上・下, 上, 下.-- 友人堂; 明治13(1880)年2月."</f>
        <v>俳諧発句八百題 / 潮堂佳一編 ; 上・下, 上, 下.-- 友人堂; 明治13(1880)年2月.</v>
      </c>
    </row>
    <row r="971" spans="1:3" ht="11.25">
      <c r="A971" s="3" t="str">
        <f>"911.3/56/2/MASAOKA"</f>
        <v>911.3/56/2/MASAOKA</v>
      </c>
      <c r="B971" s="3" t="str">
        <f>"下"</f>
        <v>下</v>
      </c>
      <c r="C971" s="3" t="str">
        <f>"俳諧発句八百題 / 潮堂佳一編 ; 上・下, 上, 下.-- 友人堂; 明治13(1880)年2月."</f>
        <v>俳諧発句八百題 / 潮堂佳一編 ; 上・下, 上, 下.-- 友人堂; 明治13(1880)年2月.</v>
      </c>
    </row>
    <row r="972" spans="1:3" ht="11.25">
      <c r="A972" s="3" t="str">
        <f>"911.3/57/1/MASAOKA"</f>
        <v>911.3/57/1/MASAOKA</v>
      </c>
      <c r="B972" s="3" t="str">
        <f>"上"</f>
        <v>上</v>
      </c>
      <c r="C972" s="3" t="str">
        <f>"発句新葉集 / 佳菊庵鸞太編 ; 上・下, 上, 下.--  伏見屋半三郎[ほか2軒]."</f>
        <v>発句新葉集 / 佳菊庵鸞太編 ; 上・下, 上, 下.--  伏見屋半三郎[ほか2軒].</v>
      </c>
    </row>
    <row r="973" spans="1:3" ht="11.25">
      <c r="A973" s="3" t="str">
        <f>"911.3/57/2/MASAOKA"</f>
        <v>911.3/57/2/MASAOKA</v>
      </c>
      <c r="B973" s="3" t="str">
        <f>"下"</f>
        <v>下</v>
      </c>
      <c r="C973" s="3" t="str">
        <f>"発句新葉集 / 佳菊庵鸞太編 ; 上・下, 上, 下.--  伏見屋半三郎[ほか2軒]."</f>
        <v>発句新葉集 / 佳菊庵鸞太編 ; 上・下, 上, 下.--  伏見屋半三郎[ほか2軒].</v>
      </c>
    </row>
    <row r="974" spans="1:3" ht="11.25">
      <c r="A974" s="3" t="str">
        <f>"911.3/58/1/MASAOKA"</f>
        <v>911.3/58/1/MASAOKA</v>
      </c>
      <c r="B974" s="3" t="str">
        <f>"上"</f>
        <v>上</v>
      </c>
      <c r="C974" s="3" t="str">
        <f>"俳諧続枯尾花集 / 小蓑庵碓嶺撰 ; 上.-- 万笈堂; [天保14(1843)年成立]."</f>
        <v>俳諧続枯尾花集 / 小蓑庵碓嶺撰 ; 上.-- 万笈堂; [天保14(1843)年成立].</v>
      </c>
    </row>
    <row r="975" spans="1:3" ht="11.25">
      <c r="A975" s="3" t="str">
        <f>"911.3/59/1/MASAOKA"</f>
        <v>911.3/59/1/MASAOKA</v>
      </c>
      <c r="B975" s="3" t="str">
        <f>"春之部"</f>
        <v>春之部</v>
      </c>
      <c r="C975" s="3" t="str">
        <f>"誹諧古今句鑑 / 谷素外編 ; 春・夏・秋・冬之部 - 冬之部.-- 須原屋市兵衛; 安永8(1779)年6月."</f>
        <v>誹諧古今句鑑 / 谷素外編 ; 春・夏・秋・冬之部 - 冬之部.-- 須原屋市兵衛; 安永8(1779)年6月.</v>
      </c>
    </row>
    <row r="976" spans="1:3" ht="11.25">
      <c r="A976" s="3" t="str">
        <f>"911.3/59/2/MASAOKA"</f>
        <v>911.3/59/2/MASAOKA</v>
      </c>
      <c r="B976" s="3" t="str">
        <f>"夏之部"</f>
        <v>夏之部</v>
      </c>
      <c r="C976" s="3" t="str">
        <f>"誹諧古今句鑑 / 谷素外編 ; 春・夏・秋・冬之部 - 冬之部.-- 須原屋市兵衛; 安永8(1779)年6月."</f>
        <v>誹諧古今句鑑 / 谷素外編 ; 春・夏・秋・冬之部 - 冬之部.-- 須原屋市兵衛; 安永8(1779)年6月.</v>
      </c>
    </row>
    <row r="977" spans="1:3" ht="11.25">
      <c r="A977" s="3" t="str">
        <f>"911.3/59/3/MASAOKA"</f>
        <v>911.3/59/3/MASAOKA</v>
      </c>
      <c r="B977" s="3" t="str">
        <f>"秋之部"</f>
        <v>秋之部</v>
      </c>
      <c r="C977" s="3" t="str">
        <f>"誹諧古今句鑑 / 谷素外編 ; 春・夏・秋・冬之部 - 冬之部.-- 須原屋市兵衛; 安永8(1779)年6月."</f>
        <v>誹諧古今句鑑 / 谷素外編 ; 春・夏・秋・冬之部 - 冬之部.-- 須原屋市兵衛; 安永8(1779)年6月.</v>
      </c>
    </row>
    <row r="978" spans="1:3" ht="11.25">
      <c r="A978" s="3" t="str">
        <f>"911.3/59/4/MASAOKA"</f>
        <v>911.3/59/4/MASAOKA</v>
      </c>
      <c r="B978" s="3" t="str">
        <f>"冬之部"</f>
        <v>冬之部</v>
      </c>
      <c r="C978" s="3" t="str">
        <f>"誹諧古今句鑑 / 谷素外編 ; 春・夏・秋・冬之部 - 冬之部.-- 須原屋市兵衛; 安永8(1779)年6月."</f>
        <v>誹諧古今句鑑 / 谷素外編 ; 春・夏・秋・冬之部 - 冬之部.-- 須原屋市兵衛; 安永8(1779)年6月.</v>
      </c>
    </row>
    <row r="979" spans="1:3" ht="11.25">
      <c r="A979" s="3" t="str">
        <f>"911.3/60//MASAOKA"</f>
        <v>911.3/60//MASAOKA</v>
      </c>
      <c r="B979" s="3">
        <f>""</f>
      </c>
      <c r="C979" s="3" t="str">
        <f>"誹諧拍掌千句 / 谷素外編.-- 須原屋市兵衛; 天明2(1782)年夏序."</f>
        <v>誹諧拍掌千句 / 谷素外編.-- 須原屋市兵衛; 天明2(1782)年夏序.</v>
      </c>
    </row>
    <row r="980" spans="1:3" ht="11.25">
      <c r="A980" s="3" t="str">
        <f>"911.3/61//MASAOKA"</f>
        <v>911.3/61//MASAOKA</v>
      </c>
      <c r="B980" s="3">
        <f>""</f>
      </c>
      <c r="C980" s="3" t="str">
        <f>"玉函集 / 金竜北元撰,紫峯楼編 ; 全.-- 紫峯楼; [文政10(1827)年刻成]."</f>
        <v>玉函集 / 金竜北元撰,紫峯楼編 ; 全.-- 紫峯楼; [文政10(1827)年刻成].</v>
      </c>
    </row>
    <row r="981" spans="1:3" ht="11.25">
      <c r="A981" s="3" t="str">
        <f>"911.3/62//MASAOKA"</f>
        <v>911.3/62//MASAOKA</v>
      </c>
      <c r="B981" s="3">
        <f>""</f>
      </c>
      <c r="C981" s="3" t="str">
        <f>"俳諧今人発句集 / 咫尺斎 [撰].-- 玉泉堂; [弘化年間 (184-)]."</f>
        <v>俳諧今人発句集 / 咫尺斎 [撰].-- 玉泉堂; [弘化年間 (184-)].</v>
      </c>
    </row>
    <row r="982" spans="1:3" ht="11.25">
      <c r="A982" s="3" t="str">
        <f>"911.3/63//MASAOKA"</f>
        <v>911.3/63//MASAOKA</v>
      </c>
      <c r="B982" s="3">
        <f>""</f>
      </c>
      <c r="C982" s="3" t="str">
        <f>"道彦七部集 / [金令舎道彦作] ; 全.-- [出版者不明]; [文政13(1830)年刊]."</f>
        <v>道彦七部集 / [金令舎道彦作] ; 全.-- [出版者不明]; [文政13(1830)年刊].</v>
      </c>
    </row>
    <row r="983" spans="1:3" ht="11.25">
      <c r="A983" s="3" t="str">
        <f>"911.3/64/1/MASAOKA"</f>
        <v>911.3/64/1/MASAOKA</v>
      </c>
      <c r="B983" s="3" t="str">
        <f>"乾"</f>
        <v>乾</v>
      </c>
      <c r="C983" s="3" t="str">
        <f>"増補俳諧所名集 / 槐陽井躬之著 ; 乾・坤, 乾, 坤.-- 花屋久治郎; [文化6(1809)年]."</f>
        <v>増補俳諧所名集 / 槐陽井躬之著 ; 乾・坤, 乾, 坤.-- 花屋久治郎; [文化6(1809)年].</v>
      </c>
    </row>
    <row r="984" spans="1:3" ht="11.25">
      <c r="A984" s="3" t="str">
        <f>"911.3/64/2/MASAOKA"</f>
        <v>911.3/64/2/MASAOKA</v>
      </c>
      <c r="B984" s="3" t="str">
        <f>"坤"</f>
        <v>坤</v>
      </c>
      <c r="C984" s="3" t="str">
        <f>"増補俳諧所名集 / 槐陽井躬之著 ; 乾・坤, 乾, 坤.-- 花屋久治郎; [文化6(1809)年]."</f>
        <v>増補俳諧所名集 / 槐陽井躬之著 ; 乾・坤, 乾, 坤.-- 花屋久治郎; [文化6(1809)年].</v>
      </c>
    </row>
    <row r="985" spans="1:3" ht="11.25">
      <c r="A985" s="3" t="str">
        <f>"911.3/65/1/MASAOKA"</f>
        <v>911.3/65/1/MASAOKA</v>
      </c>
      <c r="B985" s="3" t="str">
        <f>"上"</f>
        <v>上</v>
      </c>
      <c r="C985" s="3" t="str">
        <f>"今人大家俳諧増補新六百題 / 間宮宇山編 ; 上・下, 上, 下.-- 文雅堂; 明治2(1888)年10月."</f>
        <v>今人大家俳諧増補新六百題 / 間宮宇山編 ; 上・下, 上, 下.-- 文雅堂; 明治2(1888)年10月.</v>
      </c>
    </row>
    <row r="986" spans="1:3" ht="11.25">
      <c r="A986" s="3" t="str">
        <f>"911.3/65/2/MASAOKA"</f>
        <v>911.3/65/2/MASAOKA</v>
      </c>
      <c r="B986" s="3" t="str">
        <f>"下"</f>
        <v>下</v>
      </c>
      <c r="C986" s="3" t="str">
        <f>"今人大家俳諧増補新六百題 / 間宮宇山編 ; 上・下, 上, 下.-- 文雅堂; 明治2(1888)年10月."</f>
        <v>今人大家俳諧増補新六百題 / 間宮宇山編 ; 上・下, 上, 下.-- 文雅堂; 明治2(1888)年10月.</v>
      </c>
    </row>
    <row r="987" spans="1:3" ht="11.25">
      <c r="A987" s="3" t="str">
        <f>"911.3/66/1/MASAOKA"</f>
        <v>911.3/66/1/MASAOKA</v>
      </c>
      <c r="B987" s="3" t="str">
        <f>"上"</f>
        <v>上</v>
      </c>
      <c r="C987" s="3" t="str">
        <f>"俳諧発句九百題 / 一事庵史琴編 ; 上・下, 上, 下.-- 弘文館; 明治24(1891)年9月."</f>
        <v>俳諧発句九百題 / 一事庵史琴編 ; 上・下, 上, 下.-- 弘文館; 明治24(1891)年9月.</v>
      </c>
    </row>
    <row r="988" spans="1:3" ht="11.25">
      <c r="A988" s="3" t="str">
        <f>"911.3/66/2/MASAOKA"</f>
        <v>911.3/66/2/MASAOKA</v>
      </c>
      <c r="B988" s="3" t="str">
        <f>"下"</f>
        <v>下</v>
      </c>
      <c r="C988" s="3" t="str">
        <f>"俳諧発句九百題 / 一事庵史琴編 ; 上・下, 上, 下.-- 弘文館; 明治24(1891)年9月."</f>
        <v>俳諧発句九百題 / 一事庵史琴編 ; 上・下, 上, 下.-- 弘文館; 明治24(1891)年9月.</v>
      </c>
    </row>
    <row r="989" spans="1:3" ht="11.25">
      <c r="A989" s="3" t="str">
        <f>"911.3/67/1/MASAOKA"</f>
        <v>911.3/67/1/MASAOKA</v>
      </c>
      <c r="B989" s="3" t="str">
        <f>"上"</f>
        <v>上</v>
      </c>
      <c r="C989" s="3" t="str">
        <f>"俳諧発句六百題 / 一事庵史琴編 ; 上・下, 上, 下.-- 弘文館; 明治24(1891)年9月."</f>
        <v>俳諧発句六百題 / 一事庵史琴編 ; 上・下, 上, 下.-- 弘文館; 明治24(1891)年9月.</v>
      </c>
    </row>
    <row r="990" spans="1:3" ht="11.25">
      <c r="A990" s="3" t="str">
        <f>"911.3/67/2/MASAOKA"</f>
        <v>911.3/67/2/MASAOKA</v>
      </c>
      <c r="B990" s="3" t="str">
        <f>"下"</f>
        <v>下</v>
      </c>
      <c r="C990" s="3" t="str">
        <f>"俳諧発句六百題 / 一事庵史琴編 ; 上・下, 上, 下.-- 弘文館; 明治24(1891)年9月."</f>
        <v>俳諧発句六百題 / 一事庵史琴編 ; 上・下, 上, 下.-- 弘文館; 明治24(1891)年9月.</v>
      </c>
    </row>
    <row r="991" spans="1:3" ht="11.25">
      <c r="A991" s="3" t="str">
        <f>"911.3/68/1/MASAOKA"</f>
        <v>911.3/68/1/MASAOKA</v>
      </c>
      <c r="B991" s="3" t="str">
        <f>"乾"</f>
        <v>乾</v>
      </c>
      <c r="C991" s="3" t="str">
        <f>"俳諧五百題 / 過日庵祖郷編 ; 乾・坤, 乾, 坤.-- 松崎半造; 明治21(1887)年5月."</f>
        <v>俳諧五百題 / 過日庵祖郷編 ; 乾・坤, 乾, 坤.-- 松崎半造; 明治21(1887)年5月.</v>
      </c>
    </row>
    <row r="992" spans="1:3" ht="11.25">
      <c r="A992" s="3" t="str">
        <f>"911.3/68/2/MASAOKA"</f>
        <v>911.3/68/2/MASAOKA</v>
      </c>
      <c r="B992" s="3" t="str">
        <f>"坤"</f>
        <v>坤</v>
      </c>
      <c r="C992" s="3" t="str">
        <f>"俳諧五百題 / 過日庵祖郷編 ; 乾・坤, 乾, 坤.-- 松崎半造; 明治21(1887)年5月."</f>
        <v>俳諧五百題 / 過日庵祖郷編 ; 乾・坤, 乾, 坤.-- 松崎半造; 明治21(1887)年5月.</v>
      </c>
    </row>
    <row r="993" spans="1:3" ht="11.25">
      <c r="A993" s="3" t="str">
        <f>"911.3/69//MASAOKA"</f>
        <v>911.3/69//MASAOKA</v>
      </c>
      <c r="B993" s="3">
        <f>""</f>
      </c>
      <c r="C993" s="3" t="str">
        <f>"誹諧重刻をだまき綱目大成 / 溝口竹亭編.-- 再版.-- 新井弥兵衛; 享保16(1731)年7月."</f>
        <v>誹諧重刻をだまき綱目大成 / 溝口竹亭編.-- 再版.-- 新井弥兵衛; 享保16(1731)年7月.</v>
      </c>
    </row>
    <row r="994" spans="1:3" ht="11.25">
      <c r="A994" s="3" t="str">
        <f>"911.3/70/1/MASAOKA"</f>
        <v>911.3/70/1/MASAOKA</v>
      </c>
      <c r="B994" s="3" t="str">
        <f>"上"</f>
        <v>上</v>
      </c>
      <c r="C994" s="3" t="str">
        <f>"俳諧道乃便 / 竹巣月居、春洞淇竹、生生瑞馬同校 ; 上.-- [出版者不明]; [享和2(1802)年9月成立]."</f>
        <v>俳諧道乃便 / 竹巣月居、春洞淇竹、生生瑞馬同校 ; 上.-- [出版者不明]; [享和2(1802)年9月成立].</v>
      </c>
    </row>
    <row r="995" spans="1:3" ht="11.25">
      <c r="A995" s="3" t="str">
        <f>"911.3/71//MASAOKA"</f>
        <v>911.3/71//MASAOKA</v>
      </c>
      <c r="B995" s="3">
        <f>""</f>
      </c>
      <c r="C995" s="3" t="str">
        <f>"俳諧合鏡 / 田口竹友編 ; 完.-- 加藤正七; 明治18(1885)年11月."</f>
        <v>俳諧合鏡 / 田口竹友編 ; 完.-- 加藤正七; 明治18(1885)年11月.</v>
      </c>
    </row>
    <row r="996" spans="1:3" ht="11.25">
      <c r="A996" s="3" t="str">
        <f>"911.3/72//MASAOKA"</f>
        <v>911.3/72//MASAOKA</v>
      </c>
      <c r="B996" s="3">
        <f>""</f>
      </c>
      <c r="C996" s="3" t="str">
        <f>"付合小鏡 / [牛家著,蓼太編].-- 野田藤八; 延宝7(1679)年4月."</f>
        <v>付合小鏡 / [牛家著,蓼太編].-- 野田藤八; 延宝7(1679)年4月.</v>
      </c>
    </row>
    <row r="997" spans="1:3" ht="11.25">
      <c r="A997" s="3" t="str">
        <f>"911.3/73//MASAOKA"</f>
        <v>911.3/73//MASAOKA</v>
      </c>
      <c r="B997" s="3">
        <f>""</f>
      </c>
      <c r="C997" s="3" t="str">
        <f>"真木柱 / 挙堂著.-- 平野屋清三郎[ほか1軒]; 元禄10(1697)年2月."</f>
        <v>真木柱 / 挙堂著.-- 平野屋清三郎[ほか1軒]; 元禄10(1697)年2月.</v>
      </c>
    </row>
    <row r="998" spans="1:3" ht="11.25">
      <c r="A998" s="3" t="str">
        <f>"911.3/74//MASAOKA"</f>
        <v>911.3/74//MASAOKA</v>
      </c>
      <c r="B998" s="3">
        <f>""</f>
      </c>
      <c r="C998" s="3" t="str">
        <f>"古人八翁発句集 / 碩布撰,無窮庵大魯編 ; 秋・冬・追加.-- 丁子屋平兵衛[ほか10軒]; 弘化4(1847)年6月."</f>
        <v>古人八翁発句集 / 碩布撰,無窮庵大魯編 ; 秋・冬・追加.-- 丁子屋平兵衛[ほか10軒]; 弘化4(1847)年6月.</v>
      </c>
    </row>
    <row r="999" spans="1:3" ht="11.25">
      <c r="A999" s="3" t="str">
        <f>"911.3/75//MASAOKA"</f>
        <v>911.3/75//MASAOKA</v>
      </c>
      <c r="B999" s="3">
        <f>""</f>
      </c>
      <c r="C999" s="3" t="str">
        <f>"古今俳諧四季類題集 / 井眉庵選.-- [出版者不明]; [出版年不明]."</f>
        <v>古今俳諧四季類題集 / 井眉庵選.-- [出版者不明]; [出版年不明].</v>
      </c>
    </row>
    <row r="1000" spans="1:3" ht="11.25">
      <c r="A1000" s="3" t="str">
        <f>"911.3/76//MASAOKA"</f>
        <v>911.3/76//MASAOKA</v>
      </c>
      <c r="B1000" s="3">
        <f>""</f>
      </c>
      <c r="C1000" s="3" t="str">
        <f>"古今俳諧四季類題集 / 井眉庵撰.-- [出版者不明]; 文政3(1820)年9月序."</f>
        <v>古今俳諧四季類題集 / 井眉庵撰.-- [出版者不明]; 文政3(1820)年9月序.</v>
      </c>
    </row>
    <row r="1001" spans="1:3" ht="11.25">
      <c r="A1001" s="3" t="str">
        <f>"911.3/77//MASAOKA"</f>
        <v>911.3/77//MASAOKA</v>
      </c>
      <c r="B1001" s="3">
        <f>""</f>
      </c>
      <c r="C1001" s="3" t="str">
        <f>"俳諧七部集 / 大鵬館主人編.-- 井筒庄兵衛; 安永3(1774)年跋."</f>
        <v>俳諧七部集 / 大鵬館主人編.-- 井筒庄兵衛; 安永3(1774)年跋.</v>
      </c>
    </row>
    <row r="1002" spans="1:3" ht="11.25">
      <c r="A1002" s="3" t="str">
        <f>"911.3/78//MASAOKA"</f>
        <v>911.3/78//MASAOKA</v>
      </c>
      <c r="B1002" s="3">
        <f>""</f>
      </c>
      <c r="C1002" s="3" t="str">
        <f>"俳諧七部集 / 大鵬館主人編.-- 井筒庄兵衛[ほか4軒]; 安永3(1774)年11月."</f>
        <v>俳諧七部集 / 大鵬館主人編.-- 井筒庄兵衛[ほか4軒]; 安永3(1774)年11月.</v>
      </c>
    </row>
    <row r="1003" spans="1:3" ht="11.25">
      <c r="A1003" s="3" t="str">
        <f>"911.3/79//MASAOKA"</f>
        <v>911.3/79//MASAOKA</v>
      </c>
      <c r="B1003" s="3">
        <f>""</f>
      </c>
      <c r="C1003" s="3" t="str">
        <f>"誹諧紫苑草 / [無有庵編].-- 倉橋一左衛門[ほか1軒]; 宝暦13(1763)年3月."</f>
        <v>誹諧紫苑草 / [無有庵編].-- 倉橋一左衛門[ほか1軒]; 宝暦13(1763)年3月.</v>
      </c>
    </row>
    <row r="1004" spans="1:3" ht="11.25">
      <c r="A1004" s="3" t="str">
        <f>"911.3/80/1/MASAOKA"</f>
        <v>911.3/80/1/MASAOKA</v>
      </c>
      <c r="B1004" s="3" t="str">
        <f>"上"</f>
        <v>上</v>
      </c>
      <c r="C1004" s="3" t="str">
        <f>"俳諧新選 / 滄浪居嘯山[等]輯 ; 上.-- [出版者不明]; 安永2(1773)年3月序."</f>
        <v>俳諧新選 / 滄浪居嘯山[等]輯 ; 上.-- [出版者不明]; 安永2(1773)年3月序.</v>
      </c>
    </row>
    <row r="1005" spans="1:3" ht="11.25">
      <c r="A1005" s="3" t="str">
        <f>"911.3/81/1/MASAOKA"</f>
        <v>911.3/81/1/MASAOKA</v>
      </c>
      <c r="B1005" s="3" t="str">
        <f>"上"</f>
        <v>上</v>
      </c>
      <c r="C1005" s="3" t="str">
        <f>"俳諧百家類題集 / 過日庵祖郷撰 ; 上.-- [出版者不明]; [嘉永5(1852)年]."</f>
        <v>俳諧百家類題集 / 過日庵祖郷撰 ; 上.-- [出版者不明]; [嘉永5(1852)年].</v>
      </c>
    </row>
    <row r="1006" spans="1:3" ht="11.25">
      <c r="A1006" s="3" t="str">
        <f>"911.3/82//MASAOKA"</f>
        <v>911.3/82//MASAOKA</v>
      </c>
      <c r="B1006" s="3">
        <f>""</f>
      </c>
      <c r="C1006" s="3" t="str">
        <f>"蕪村七部集 / 春夜楼晋明等編.-- 河南儀兵衛[ほか2軒]; 文化6(1809)年1月."</f>
        <v>蕪村七部集 / 春夜楼晋明等編.-- 河南儀兵衛[ほか2軒]; 文化6(1809)年1月.</v>
      </c>
    </row>
    <row r="1007" spans="1:3" ht="11.25">
      <c r="A1007" s="3" t="str">
        <f>"911.3/83/2/MASAOKA"</f>
        <v>911.3/83/2/MASAOKA</v>
      </c>
      <c r="B1007" s="3" t="str">
        <f>"下"</f>
        <v>下</v>
      </c>
      <c r="C1007" s="3" t="str">
        <f>"誹諧句鑑拾遺 / 一陽井素外,妍斎津富編 ; 下.-- [出版者不明]; 天明6(1786)年[跋]."</f>
        <v>誹諧句鑑拾遺 / 一陽井素外,妍斎津富編 ; 下.-- [出版者不明]; 天明6(1786)年[跋].</v>
      </c>
    </row>
    <row r="1008" spans="1:3" ht="11.25">
      <c r="A1008" s="3" t="str">
        <f>"911.3/84//MASAOKA"</f>
        <v>911.3/84//MASAOKA</v>
      </c>
      <c r="B1008" s="3">
        <f>""</f>
      </c>
      <c r="C1008" s="3" t="str">
        <f>"俳諧発句題葉集 / 升六編 ; 雑之部.-- 奈良屋為三郎[ほか1軒]; [寛政12(1799)年成立]."</f>
        <v>俳諧発句題葉集 / 升六編 ; 雑之部.-- 奈良屋為三郎[ほか1軒]; [寛政12(1799)年成立].</v>
      </c>
    </row>
    <row r="1009" spans="1:3" ht="11.25">
      <c r="A1009" s="3" t="str">
        <f>"911.3/85//MASAOKA"</f>
        <v>911.3/85//MASAOKA</v>
      </c>
      <c r="B1009" s="3">
        <f>""</f>
      </c>
      <c r="C1009" s="3" t="str">
        <f>"誹諧通言 / 並木舎五瓶撰 ; 完.-- 須原屋伊八[ほか7軒]; 文化4(1807)年1月."</f>
        <v>誹諧通言 / 並木舎五瓶撰 ; 完.-- 須原屋伊八[ほか7軒]; 文化4(1807)年1月.</v>
      </c>
    </row>
    <row r="1010" spans="1:3" ht="11.25">
      <c r="A1010" s="3" t="str">
        <f>"911.3/86/1/MASAOKA"</f>
        <v>911.3/86/1/MASAOKA</v>
      </c>
      <c r="B1010" s="3" t="str">
        <f>"上"</f>
        <v>上</v>
      </c>
      <c r="C1010" s="3" t="str">
        <f>"俳諧発句五百題 / 春秋庵白雄編 ; 上・下, 上, 下.-- 文生堂[ほか1軒]; 文化4(1807)年序・跋."</f>
        <v>俳諧発句五百題 / 春秋庵白雄編 ; 上・下, 上, 下.-- 文生堂[ほか1軒]; 文化4(1807)年序・跋.</v>
      </c>
    </row>
    <row r="1011" spans="1:3" ht="11.25">
      <c r="A1011" s="3" t="str">
        <f>"911.3/86/2/MASAOKA"</f>
        <v>911.3/86/2/MASAOKA</v>
      </c>
      <c r="B1011" s="3" t="str">
        <f>"下"</f>
        <v>下</v>
      </c>
      <c r="C1011" s="3" t="str">
        <f>"俳諧発句五百題 / 春秋庵白雄編 ; 上・下, 上, 下.-- 文生堂[ほか1軒]; 文化4(1807)年序・跋."</f>
        <v>俳諧発句五百題 / 春秋庵白雄編 ; 上・下, 上, 下.-- 文生堂[ほか1軒]; 文化4(1807)年序・跋.</v>
      </c>
    </row>
    <row r="1012" spans="1:3" ht="11.25">
      <c r="A1012" s="3" t="str">
        <f>"911.3/87//MASAOKA"</f>
        <v>911.3/87//MASAOKA</v>
      </c>
      <c r="B1012" s="3">
        <f>""</f>
      </c>
      <c r="C1012" s="3" t="str">
        <f>"俳諧慶応六百題 / 小蓑庵碓嶺選 ; 秋冬之部.-- 椀屋喜兵衛[ほか5軒]; [出版年不明]."</f>
        <v>俳諧慶応六百題 / 小蓑庵碓嶺選 ; 秋冬之部.-- 椀屋喜兵衛[ほか5軒]; [出版年不明].</v>
      </c>
    </row>
    <row r="1013" spans="1:3" ht="11.25">
      <c r="A1013" s="3" t="str">
        <f>"911.3/88/1a/MASAOKA"</f>
        <v>911.3/88/1a/MASAOKA</v>
      </c>
      <c r="B1013" s="3" t="str">
        <f>"上ノ上"</f>
        <v>上ノ上</v>
      </c>
      <c r="C1013" s="3" t="str">
        <f>"俳諧発句三傑集 / 亭々坊車蓋編 ; 上ノ上, 上ノ下, 下.-- [出版者不明]; 寛政6(1794)年春序."</f>
        <v>俳諧発句三傑集 / 亭々坊車蓋編 ; 上ノ上, 上ノ下, 下.-- [出版者不明]; 寛政6(1794)年春序.</v>
      </c>
    </row>
    <row r="1014" spans="1:3" ht="11.25">
      <c r="A1014" s="3" t="str">
        <f>"911.3/88/1b/MASAOKA"</f>
        <v>911.3/88/1b/MASAOKA</v>
      </c>
      <c r="B1014" s="3" t="str">
        <f>"上ノ下"</f>
        <v>上ノ下</v>
      </c>
      <c r="C1014" s="3" t="str">
        <f>"俳諧発句三傑集 / 亭々坊車蓋編 ; 上ノ上, 上ノ下, 下.-- [出版者不明]; 寛政6(1794)年春序."</f>
        <v>俳諧発句三傑集 / 亭々坊車蓋編 ; 上ノ上, 上ノ下, 下.-- [出版者不明]; 寛政6(1794)年春序.</v>
      </c>
    </row>
    <row r="1015" spans="1:3" ht="11.25">
      <c r="A1015" s="3" t="str">
        <f>"911.3/88/2/MASAOKA"</f>
        <v>911.3/88/2/MASAOKA</v>
      </c>
      <c r="B1015" s="3" t="str">
        <f>"下"</f>
        <v>下</v>
      </c>
      <c r="C1015" s="3" t="str">
        <f>"俳諧発句三傑集 / 亭々坊車蓋編 ; 上ノ上, 上ノ下, 下.-- [出版者不明]; 寛政6(1794)年春序."</f>
        <v>俳諧発句三傑集 / 亭々坊車蓋編 ; 上ノ上, 上ノ下, 下.-- [出版者不明]; 寛政6(1794)年春序.</v>
      </c>
    </row>
    <row r="1016" spans="1:3" ht="11.25">
      <c r="A1016" s="3" t="str">
        <f>"911.3/89//MASAOKA"</f>
        <v>911.3/89//MASAOKA</v>
      </c>
      <c r="B1016" s="3">
        <f>""</f>
      </c>
      <c r="C1016" s="3" t="str">
        <f>"芭蕉庵主桃青餞別詩歌并俳諧発句 / [墨斎左右輯].-- 文淵堂伊八; [貞享4(1687)年10月成立]."</f>
        <v>芭蕉庵主桃青餞別詩歌并俳諧発句 / [墨斎左右輯].-- 文淵堂伊八; [貞享4(1687)年10月成立].</v>
      </c>
    </row>
    <row r="1017" spans="1:3" ht="11.25">
      <c r="A1017" s="3" t="str">
        <f>"911.3/90/2/MASAOKA"</f>
        <v>911.3/90/2/MASAOKA</v>
      </c>
      <c r="B1017" s="3" t="str">
        <f>"坤"</f>
        <v>坤</v>
      </c>
      <c r="C1017" s="3" t="str">
        <f>"誹諧手引種 / 一陽井素外著 ; 坤.-- [出版者不明]; [出版年不明]."</f>
        <v>誹諧手引種 / 一陽井素外著 ; 坤.-- [出版者不明]; [出版年不明].</v>
      </c>
    </row>
    <row r="1018" spans="1:3" ht="11.25">
      <c r="A1018" s="3" t="str">
        <f>"911.3/91/1/MASAOKA"</f>
        <v>911.3/91/1/MASAOKA</v>
      </c>
      <c r="B1018" s="3" t="str">
        <f>"乾"</f>
        <v>乾</v>
      </c>
      <c r="C1018" s="3" t="str">
        <f>"誹諧手引種 / 一陽井素外 ; 乾.-- 星運堂; [文化4(1807)年]."</f>
        <v>誹諧手引種 / 一陽井素外 ; 乾.-- 星運堂; [文化4(1807)年].</v>
      </c>
    </row>
    <row r="1019" spans="1:3" ht="11.25">
      <c r="A1019" s="3" t="str">
        <f>"911.3/92/2/MASAOKA"</f>
        <v>911.3/92/2/MASAOKA</v>
      </c>
      <c r="B1019" s="3" t="str">
        <f>"下"</f>
        <v>下</v>
      </c>
      <c r="C1019" s="3" t="str">
        <f>"誹諧手引種 / 一陽井素外 ; 下.-- 花屋久次郎[ほか4軒]; 文化7(1810)年夏."</f>
        <v>誹諧手引種 / 一陽井素外 ; 下.-- 花屋久次郎[ほか4軒]; 文化7(1810)年夏.</v>
      </c>
    </row>
    <row r="1020" spans="1:3" ht="11.25">
      <c r="A1020" s="3" t="str">
        <f>"911.3/93/1/MASAOKA"</f>
        <v>911.3/93/1/MASAOKA</v>
      </c>
      <c r="B1020" s="3" t="str">
        <f>"上"</f>
        <v>上</v>
      </c>
      <c r="C1020" s="3" t="str">
        <f>"俳諧あすならふ / 法橋吾山越谷秀真著 ; 上・下, 上, 下.-- 河内屋太助[ほか2軒]; 嘉永3(1850)年5月."</f>
        <v>俳諧あすならふ / 法橋吾山越谷秀真著 ; 上・下, 上, 下.-- 河内屋太助[ほか2軒]; 嘉永3(1850)年5月.</v>
      </c>
    </row>
    <row r="1021" spans="1:3" ht="11.25">
      <c r="A1021" s="3" t="str">
        <f>"911.3/93/2/MASAOKA"</f>
        <v>911.3/93/2/MASAOKA</v>
      </c>
      <c r="B1021" s="3" t="str">
        <f>"下"</f>
        <v>下</v>
      </c>
      <c r="C1021" s="3" t="str">
        <f>"俳諧あすならふ / 法橋吾山越谷秀真著 ; 上・下, 上, 下.-- 河内屋太助[ほか2軒]; 嘉永3(1850)年5月."</f>
        <v>俳諧あすならふ / 法橋吾山越谷秀真著 ; 上・下, 上, 下.-- 河内屋太助[ほか2軒]; 嘉永3(1850)年5月.</v>
      </c>
    </row>
    <row r="1022" spans="1:3" ht="11.25">
      <c r="A1022" s="3" t="str">
        <f>"911.3/94//MASAOKA"</f>
        <v>911.3/94//MASAOKA</v>
      </c>
      <c r="B1022" s="3">
        <f>""</f>
      </c>
      <c r="C1022" s="3" t="str">
        <f>"俳諧百人一首 / 路宣編 ; 完.-- 本屋又助; 嘉永2(1849)年1月."</f>
        <v>俳諧百人一首 / 路宣編 ; 完.-- 本屋又助; 嘉永2(1849)年1月.</v>
      </c>
    </row>
    <row r="1023" spans="1:3" ht="11.25">
      <c r="A1023" s="3" t="str">
        <f>"911.3/95/1/MASAOKA"</f>
        <v>911.3/95/1/MASAOKA</v>
      </c>
      <c r="B1023" s="3" t="str">
        <f>"1巻"</f>
        <v>1巻</v>
      </c>
      <c r="C1023" s="3" t="str">
        <f>"俳諧千題掌玉集 / 不去庵幹雄撰 ; 1-2巻, 1巻, 2巻.-- [出版者不明]; 明治2(1869)年10月."</f>
        <v>俳諧千題掌玉集 / 不去庵幹雄撰 ; 1-2巻, 1巻, 2巻.-- [出版者不明]; 明治2(1869)年10月.</v>
      </c>
    </row>
    <row r="1024" spans="1:3" ht="11.25">
      <c r="A1024" s="3" t="str">
        <f>"911.3/95/2/MASAOKA"</f>
        <v>911.3/95/2/MASAOKA</v>
      </c>
      <c r="B1024" s="3" t="str">
        <f>"2巻"</f>
        <v>2巻</v>
      </c>
      <c r="C1024" s="3" t="str">
        <f>"俳諧千題掌玉集 / 不去庵幹雄撰 ; 1-2巻, 1巻, 2巻.-- [出版者不明]; 明治2(1869)年10月."</f>
        <v>俳諧千題掌玉集 / 不去庵幹雄撰 ; 1-2巻, 1巻, 2巻.-- [出版者不明]; 明治2(1869)年10月.</v>
      </c>
    </row>
    <row r="1025" spans="1:3" ht="11.25">
      <c r="A1025" s="3" t="str">
        <f>"911.3/96/1/MASAOKA"</f>
        <v>911.3/96/1/MASAOKA</v>
      </c>
      <c r="B1025" s="3" t="str">
        <f>"上"</f>
        <v>上</v>
      </c>
      <c r="C1025" s="3" t="str">
        <f>"安政発句六百題 / 雙雀庵氷壺編 ; 上・下, 上, 下.-- 山城屋政吉[ほか5軒]; 安政4(1857)年3月."</f>
        <v>安政発句六百題 / 雙雀庵氷壺編 ; 上・下, 上, 下.-- 山城屋政吉[ほか5軒]; 安政4(1857)年3月.</v>
      </c>
    </row>
    <row r="1026" spans="1:3" ht="11.25">
      <c r="A1026" s="3" t="str">
        <f>"911.3/96/2/MASAOKA"</f>
        <v>911.3/96/2/MASAOKA</v>
      </c>
      <c r="B1026" s="3" t="str">
        <f>"下"</f>
        <v>下</v>
      </c>
      <c r="C1026" s="3" t="str">
        <f>"安政発句六百題 / 雙雀庵氷壺編 ; 上・下, 上, 下.-- 山城屋政吉[ほか5軒]; 安政4(1857)年3月."</f>
        <v>安政発句六百題 / 雙雀庵氷壺編 ; 上・下, 上, 下.-- 山城屋政吉[ほか5軒]; 安政4(1857)年3月.</v>
      </c>
    </row>
    <row r="1027" spans="1:3" ht="11.25">
      <c r="A1027" s="3" t="str">
        <f>"911.3/97/1/MASAOKA"</f>
        <v>911.3/97/1/MASAOKA</v>
      </c>
      <c r="B1027" s="3" t="str">
        <f>"上"</f>
        <v>上</v>
      </c>
      <c r="C1027" s="3" t="str">
        <f>"文久新六百題 / 菊守園見外輯 ; 上・下, 上, 下.-- 山城屋政吉; 文久3(1863)年8月."</f>
        <v>文久新六百題 / 菊守園見外輯 ; 上・下, 上, 下.-- 山城屋政吉; 文久3(1863)年8月.</v>
      </c>
    </row>
    <row r="1028" spans="1:3" ht="11.25">
      <c r="A1028" s="3" t="str">
        <f>"911.3/97/2/MASAOKA"</f>
        <v>911.3/97/2/MASAOKA</v>
      </c>
      <c r="B1028" s="3" t="str">
        <f>"下"</f>
        <v>下</v>
      </c>
      <c r="C1028" s="3" t="str">
        <f>"文久新六百題 / 菊守園見外輯 ; 上・下, 上, 下.-- 山城屋政吉; 文久3(1863)年8月."</f>
        <v>文久新六百題 / 菊守園見外輯 ; 上・下, 上, 下.-- 山城屋政吉; 文久3(1863)年8月.</v>
      </c>
    </row>
    <row r="1029" spans="1:3" ht="11.25">
      <c r="A1029" s="3" t="str">
        <f>"911.3/98/1/MASAOKA"</f>
        <v>911.3/98/1/MASAOKA</v>
      </c>
      <c r="B1029" s="3" t="str">
        <f>"巻之1-3"</f>
        <v>巻之1-3</v>
      </c>
      <c r="C1029" s="3" t="str">
        <f>"俳諧猿蓑さかし / 東杵庵[サイ]柯坊空然 ; 巻之1-3, 巻之4-5, 巻之6-7.-- 万笈堂[ほか50軒]; 文政11(1822)年."</f>
        <v>俳諧猿蓑さかし / 東杵庵[サイ]柯坊空然 ; 巻之1-3, 巻之4-5, 巻之6-7.-- 万笈堂[ほか50軒]; 文政11(1822)年.</v>
      </c>
    </row>
    <row r="1030" spans="1:3" ht="11.25">
      <c r="A1030" s="3" t="str">
        <f>"911.3/98/2/MASAOKA"</f>
        <v>911.3/98/2/MASAOKA</v>
      </c>
      <c r="B1030" s="3" t="str">
        <f>"巻之4-5"</f>
        <v>巻之4-5</v>
      </c>
      <c r="C1030" s="3" t="str">
        <f>"俳諧猿蓑さかし / 東杵庵[サイ]柯坊空然 ; 巻之1-3, 巻之4-5, 巻之6-7.-- 万笈堂[ほか50軒]; 文政11(1822)年."</f>
        <v>俳諧猿蓑さかし / 東杵庵[サイ]柯坊空然 ; 巻之1-3, 巻之4-5, 巻之6-7.-- 万笈堂[ほか50軒]; 文政11(1822)年.</v>
      </c>
    </row>
    <row r="1031" spans="1:3" ht="11.25">
      <c r="A1031" s="3" t="str">
        <f>"911.3/98/3/MASAOKA"</f>
        <v>911.3/98/3/MASAOKA</v>
      </c>
      <c r="B1031" s="3" t="str">
        <f>"巻之6-7"</f>
        <v>巻之6-7</v>
      </c>
      <c r="C1031" s="3" t="str">
        <f>"俳諧猿蓑さかし / 東杵庵[サイ]柯坊空然 ; 巻之1-3, 巻之4-5, 巻之6-7.-- 万笈堂[ほか50軒]; 文政11(1822)年."</f>
        <v>俳諧猿蓑さかし / 東杵庵[サイ]柯坊空然 ; 巻之1-3, 巻之4-5, 巻之6-7.-- 万笈堂[ほか50軒]; 文政11(1822)年.</v>
      </c>
    </row>
    <row r="1032" spans="1:3" ht="11.25">
      <c r="A1032" s="3" t="str">
        <f>"911.3/99//MASAOKA"</f>
        <v>911.3/99//MASAOKA</v>
      </c>
      <c r="B1032" s="3">
        <f>""</f>
      </c>
      <c r="C1032" s="3" t="str">
        <f>"かわ掃除 / [涼蝉亭葵笠編] ; 全.-- 菊屋平兵衛; 天保6(1835)年序."</f>
        <v>かわ掃除 / [涼蝉亭葵笠編] ; 全.-- 菊屋平兵衛; 天保6(1835)年序.</v>
      </c>
    </row>
    <row r="1033" spans="1:3" ht="11.25">
      <c r="A1033" s="3" t="str">
        <f>"911.3/100//MASAOKA"</f>
        <v>911.3/100//MASAOKA</v>
      </c>
      <c r="B1033" s="3">
        <f>""</f>
      </c>
      <c r="C1033" s="3" t="str">
        <f>"誹諧徳祈新楽雪 / 素外編.-- 星運堂; 文化5(1808)年春."</f>
        <v>誹諧徳祈新楽雪 / 素外編.-- 星運堂; 文化5(1808)年春.</v>
      </c>
    </row>
    <row r="1034" spans="1:3" ht="11.25">
      <c r="A1034" s="3" t="str">
        <f>"911.3/101//MASAOKA"</f>
        <v>911.3/101//MASAOKA</v>
      </c>
      <c r="B1034" s="3">
        <f>""</f>
      </c>
      <c r="C1034" s="3" t="str">
        <f>"誹諧三名所 / 一陽井素外編 ; 全.-- 星運堂; 文政2(1819)年."</f>
        <v>誹諧三名所 / 一陽井素外編 ; 全.-- 星運堂; 文政2(1819)年.</v>
      </c>
    </row>
    <row r="1035" spans="1:3" ht="11.25">
      <c r="A1035" s="3" t="str">
        <f>"911.3/102//MASAOKA"</f>
        <v>911.3/102//MASAOKA</v>
      </c>
      <c r="B1035" s="3">
        <f>""</f>
      </c>
      <c r="C1035" s="3" t="str">
        <f>"都草附録 / 沢田由健著.-- [出版者不明]; [寛文5(1665)年成立]."</f>
        <v>都草附録 / 沢田由健著.-- [出版者不明]; [寛文5(1665)年成立].</v>
      </c>
    </row>
    <row r="1036" spans="1:3" ht="11.25">
      <c r="A1036" s="3" t="str">
        <f>"911.3/103/1/MASAOKA"</f>
        <v>911.3/103/1/MASAOKA</v>
      </c>
      <c r="B1036" s="3" t="str">
        <f>"上巻"</f>
        <v>上巻</v>
      </c>
      <c r="C1036" s="3" t="str">
        <f>"天明四季発句牒 / 反故齋編 ; 上・下巻, 上巻, 下巻.-- 星運堂; [出版年不明]."</f>
        <v>天明四季発句牒 / 反故齋編 ; 上・下巻, 上巻, 下巻.-- 星運堂; [出版年不明].</v>
      </c>
    </row>
    <row r="1037" spans="1:3" ht="11.25">
      <c r="A1037" s="3" t="str">
        <f>"911.3/103/2/MASAOKA"</f>
        <v>911.3/103/2/MASAOKA</v>
      </c>
      <c r="B1037" s="3" t="str">
        <f>"下巻"</f>
        <v>下巻</v>
      </c>
      <c r="C1037" s="3" t="str">
        <f>"天明四季発句牒 / 反故齋編 ; 上・下巻, 上巻, 下巻.-- 星運堂; [出版年不明]."</f>
        <v>天明四季発句牒 / 反故齋編 ; 上・下巻, 上巻, 下巻.-- 星運堂; [出版年不明].</v>
      </c>
    </row>
    <row r="1038" spans="1:3" ht="11.25">
      <c r="A1038" s="3" t="str">
        <f>"911.3/104/1/MASAOKA"</f>
        <v>911.3/104/1/MASAOKA</v>
      </c>
      <c r="B1038" s="3" t="str">
        <f>"上巻"</f>
        <v>上巻</v>
      </c>
      <c r="C1038" s="3" t="str">
        <f>"附合雙玉集 / 種玉堂編 ; 上・下巻, 上巻, 下巻.-- 河内屋儀助[ほか2軒]; 天保4(1833)年10月."</f>
        <v>附合雙玉集 / 種玉堂編 ; 上・下巻, 上巻, 下巻.-- 河内屋儀助[ほか2軒]; 天保4(1833)年10月.</v>
      </c>
    </row>
    <row r="1039" spans="1:3" ht="11.25">
      <c r="A1039" s="3" t="str">
        <f>"911.3/104/2/MASAOKA"</f>
        <v>911.3/104/2/MASAOKA</v>
      </c>
      <c r="B1039" s="3" t="str">
        <f>"下巻"</f>
        <v>下巻</v>
      </c>
      <c r="C1039" s="3" t="str">
        <f>"附合雙玉集 / 種玉堂編 ; 上・下巻, 上巻, 下巻.-- 河内屋儀助[ほか2軒]; 天保4(1833)年10月."</f>
        <v>附合雙玉集 / 種玉堂編 ; 上・下巻, 上巻, 下巻.-- 河内屋儀助[ほか2軒]; 天保4(1833)年10月.</v>
      </c>
    </row>
    <row r="1040" spans="1:3" ht="11.25">
      <c r="A1040" s="3" t="str">
        <f>"911.3/105/1/MASAOKA"</f>
        <v>911.3/105/1/MASAOKA</v>
      </c>
      <c r="B1040" s="3" t="str">
        <f>"乾"</f>
        <v>乾</v>
      </c>
      <c r="C1040" s="3" t="str">
        <f>"亀齢集 / 道山三次郎編 ; 乾・坤, 乾, 坤.-- 道山三次郎; 明治27(1894)年12月."</f>
        <v>亀齢集 / 道山三次郎編 ; 乾・坤, 乾, 坤.-- 道山三次郎; 明治27(1894)年12月.</v>
      </c>
    </row>
    <row r="1041" spans="1:3" ht="11.25">
      <c r="A1041" s="3" t="str">
        <f>"911.3/105/2/MASAOKA"</f>
        <v>911.3/105/2/MASAOKA</v>
      </c>
      <c r="B1041" s="3" t="str">
        <f>"坤"</f>
        <v>坤</v>
      </c>
      <c r="C1041" s="3" t="str">
        <f>"亀齢集 / 道山三次郎編 ; 乾・坤, 乾, 坤.-- 道山三次郎; 明治27(1894)年12月."</f>
        <v>亀齢集 / 道山三次郎編 ; 乾・坤, 乾, 坤.-- 道山三次郎; 明治27(1894)年12月.</v>
      </c>
    </row>
    <row r="1042" spans="1:3" ht="11.25">
      <c r="A1042" s="3" t="str">
        <f>"911.3/106/1/MASAOKA"</f>
        <v>911.3/106/1/MASAOKA</v>
      </c>
      <c r="B1042" s="3" t="str">
        <f>"春巻"</f>
        <v>春巻</v>
      </c>
      <c r="C1042" s="3" t="str">
        <f>"発句三代集 / 指月亭[編] ; 春巻 - 冬巻.-- 阪本屋大二郎[ほか5軒]; 弘化2(1845)年11月."</f>
        <v>発句三代集 / 指月亭[編] ; 春巻 - 冬巻.-- 阪本屋大二郎[ほか5軒]; 弘化2(1845)年11月.</v>
      </c>
    </row>
    <row r="1043" spans="1:3" ht="11.25">
      <c r="A1043" s="3" t="str">
        <f>"911.3/106/2/MASAOKA"</f>
        <v>911.3/106/2/MASAOKA</v>
      </c>
      <c r="B1043" s="3" t="str">
        <f>"夏巻"</f>
        <v>夏巻</v>
      </c>
      <c r="C1043" s="3" t="str">
        <f>"発句三代集 / 指月亭[編] ; 春巻 - 冬巻.-- 阪本屋大二郎[ほか5軒]; 弘化2(1845)年11月."</f>
        <v>発句三代集 / 指月亭[編] ; 春巻 - 冬巻.-- 阪本屋大二郎[ほか5軒]; 弘化2(1845)年11月.</v>
      </c>
    </row>
    <row r="1044" spans="1:3" ht="11.25">
      <c r="A1044" s="3" t="str">
        <f>"911.3/106/3/MASAOKA"</f>
        <v>911.3/106/3/MASAOKA</v>
      </c>
      <c r="B1044" s="3" t="str">
        <f>"秋巻"</f>
        <v>秋巻</v>
      </c>
      <c r="C1044" s="3" t="str">
        <f>"発句三代集 / 指月亭[編] ; 春巻 - 冬巻.-- 阪本屋大二郎[ほか5軒]; 弘化2(1845)年11月."</f>
        <v>発句三代集 / 指月亭[編] ; 春巻 - 冬巻.-- 阪本屋大二郎[ほか5軒]; 弘化2(1845)年11月.</v>
      </c>
    </row>
    <row r="1045" spans="1:3" ht="11.25">
      <c r="A1045" s="3" t="str">
        <f>"911.3/106/4/MASAOKA"</f>
        <v>911.3/106/4/MASAOKA</v>
      </c>
      <c r="B1045" s="3" t="str">
        <f>"冬巻"</f>
        <v>冬巻</v>
      </c>
      <c r="C1045" s="3" t="str">
        <f>"発句三代集 / 指月亭[編] ; 春巻 - 冬巻.-- 阪本屋大二郎[ほか5軒]; 弘化2(1845)年11月."</f>
        <v>発句三代集 / 指月亭[編] ; 春巻 - 冬巻.-- 阪本屋大二郎[ほか5軒]; 弘化2(1845)年11月.</v>
      </c>
    </row>
    <row r="1046" spans="1:3" ht="11.25">
      <c r="A1046" s="3" t="str">
        <f>"911.3/107/1/MASAOKA"</f>
        <v>911.3/107/1/MASAOKA</v>
      </c>
      <c r="B1046" s="3" t="str">
        <f>"春巻"</f>
        <v>春巻</v>
      </c>
      <c r="C1046" s="3" t="str">
        <f>"発句三代集 / 指月亭[編] ; 2編. - 冬巻.-- 阪本屋大二郎; 嘉永4(1851)年5月."</f>
        <v>発句三代集 / 指月亭[編] ; 2編. - 冬巻.-- 阪本屋大二郎; 嘉永4(1851)年5月.</v>
      </c>
    </row>
    <row r="1047" spans="1:3" ht="11.25">
      <c r="A1047" s="3" t="str">
        <f>"911.3/107/2/MASAOKA"</f>
        <v>911.3/107/2/MASAOKA</v>
      </c>
      <c r="B1047" s="3" t="str">
        <f>"夏巻"</f>
        <v>夏巻</v>
      </c>
      <c r="C1047" s="3" t="str">
        <f>"発句三代集 / 指月亭[編] ; 2編. - 冬巻.-- 阪本屋大二郎; 嘉永4(1851)年5月."</f>
        <v>発句三代集 / 指月亭[編] ; 2編. - 冬巻.-- 阪本屋大二郎; 嘉永4(1851)年5月.</v>
      </c>
    </row>
    <row r="1048" spans="1:3" ht="11.25">
      <c r="A1048" s="3" t="str">
        <f>"911.3/107/3/MASAOKA"</f>
        <v>911.3/107/3/MASAOKA</v>
      </c>
      <c r="B1048" s="3" t="str">
        <f>"秋巻"</f>
        <v>秋巻</v>
      </c>
      <c r="C1048" s="3" t="str">
        <f>"発句三代集 / 指月亭[編] ; 2編. - 冬巻.-- 阪本屋大二郎; 嘉永4(1851)年5月."</f>
        <v>発句三代集 / 指月亭[編] ; 2編. - 冬巻.-- 阪本屋大二郎; 嘉永4(1851)年5月.</v>
      </c>
    </row>
    <row r="1049" spans="1:3" ht="11.25">
      <c r="A1049" s="3" t="str">
        <f>"911.3/107/4/MASAOKA"</f>
        <v>911.3/107/4/MASAOKA</v>
      </c>
      <c r="B1049" s="3" t="str">
        <f>"冬巻"</f>
        <v>冬巻</v>
      </c>
      <c r="C1049" s="3" t="str">
        <f>"発句三代集 / 指月亭[編] ; 2編. - 冬巻.-- 阪本屋大二郎; 嘉永4(1851)年5月."</f>
        <v>発句三代集 / 指月亭[編] ; 2編. - 冬巻.-- 阪本屋大二郎; 嘉永4(1851)年5月.</v>
      </c>
    </row>
    <row r="1050" spans="1:3" ht="11.25">
      <c r="A1050" s="3" t="str">
        <f>"911.3/108/1/MASAOKA"</f>
        <v>911.3/108/1/MASAOKA</v>
      </c>
      <c r="B1050" s="3" t="str">
        <f>"乾[初編]"</f>
        <v>乾[初編]</v>
      </c>
      <c r="C1050" s="3" t="str">
        <f>"古今芸苑俳諧人名録 / [惟草庵惟草編] ; 乾[初編], 坤[3編].-- [出版者不明]; [天保7-嘉永4(1836-1851)年]."</f>
        <v>古今芸苑俳諧人名録 / [惟草庵惟草編] ; 乾[初編], 坤[3編].-- [出版者不明]; [天保7-嘉永4(1836-1851)年].</v>
      </c>
    </row>
    <row r="1051" spans="1:3" ht="11.25">
      <c r="A1051" s="3" t="str">
        <f>"911.3/108/2/MASAOKA"</f>
        <v>911.3/108/2/MASAOKA</v>
      </c>
      <c r="B1051" s="3" t="str">
        <f>"坤[3編]"</f>
        <v>坤[3編]</v>
      </c>
      <c r="C1051" s="3" t="str">
        <f>"古今芸苑俳諧人名録 / [惟草庵惟草編] ; 乾[初編], 坤[3編].-- [出版者不明]; [天保7-嘉永4(1836-1851)年]."</f>
        <v>古今芸苑俳諧人名録 / [惟草庵惟草編] ; 乾[初編], 坤[3編].-- [出版者不明]; [天保7-嘉永4(1836-1851)年].</v>
      </c>
    </row>
    <row r="1052" spans="1:3" ht="11.25">
      <c r="A1052" s="3" t="str">
        <f>"911.3/109//MASAOKA"</f>
        <v>911.3/109//MASAOKA</v>
      </c>
      <c r="B1052" s="3" t="str">
        <f>"春下"</f>
        <v>春下</v>
      </c>
      <c r="C1052" s="3" t="str">
        <f>"俳諧発句題叢 / 椿丘太?編 ; 春下.-- [出版者不明]; [文政3(1820)年刊]."</f>
        <v>俳諧発句題叢 / 椿丘太?編 ; 春下.-- [出版者不明]; [文政3(1820)年刊].</v>
      </c>
    </row>
    <row r="1053" spans="1:3" ht="11.25">
      <c r="A1053" s="3" t="str">
        <f>"911.3/110/1/MASAOKA"</f>
        <v>911.3/110/1/MASAOKA</v>
      </c>
      <c r="B1053" s="3" t="str">
        <f>"名所春"</f>
        <v>名所春</v>
      </c>
      <c r="C1053" s="3" t="str">
        <f>"俳諧発句題叢 / 椿丘太?編 ; 名所春 - 名所冬.-- 上総屋利兵衛.上総屋惣兵衛; 文政6(1823)年6月刊."</f>
        <v>俳諧発句題叢 / 椿丘太?編 ; 名所春 - 名所冬.-- 上総屋利兵衛.上総屋惣兵衛; 文政6(1823)年6月刊.</v>
      </c>
    </row>
    <row r="1054" spans="1:3" ht="11.25">
      <c r="A1054" s="3" t="str">
        <f>"911.3/110/2/MASAOKA"</f>
        <v>911.3/110/2/MASAOKA</v>
      </c>
      <c r="B1054" s="3" t="str">
        <f>"名所夏"</f>
        <v>名所夏</v>
      </c>
      <c r="C1054" s="3" t="str">
        <f>"俳諧発句題叢 / 椿丘太?編 ; 名所春 - 名所冬.-- 上総屋利兵衛.上総屋惣兵衛; 文政6(1823)年6月刊."</f>
        <v>俳諧発句題叢 / 椿丘太?編 ; 名所春 - 名所冬.-- 上総屋利兵衛.上総屋惣兵衛; 文政6(1823)年6月刊.</v>
      </c>
    </row>
    <row r="1055" spans="1:3" ht="11.25">
      <c r="A1055" s="3" t="str">
        <f>"911.3/110/3/MASAOKA"</f>
        <v>911.3/110/3/MASAOKA</v>
      </c>
      <c r="B1055" s="3" t="str">
        <f>"名所秋"</f>
        <v>名所秋</v>
      </c>
      <c r="C1055" s="3" t="str">
        <f>"俳諧発句題叢 / 椿丘太?編 ; 名所春 - 名所冬.-- 上総屋利兵衛.上総屋惣兵衛; 文政6(1823)年6月刊."</f>
        <v>俳諧発句題叢 / 椿丘太?編 ; 名所春 - 名所冬.-- 上総屋利兵衛.上総屋惣兵衛; 文政6(1823)年6月刊.</v>
      </c>
    </row>
    <row r="1056" spans="1:3" ht="11.25">
      <c r="A1056" s="3" t="str">
        <f>"911.3/110/4/MASAOKA"</f>
        <v>911.3/110/4/MASAOKA</v>
      </c>
      <c r="B1056" s="3" t="str">
        <f>"名所冬"</f>
        <v>名所冬</v>
      </c>
      <c r="C1056" s="3" t="str">
        <f>"俳諧発句題叢 / 椿丘太?編 ; 名所春 - 名所冬.-- 上総屋利兵衛.上総屋惣兵衛; 文政6(1823)年6月刊."</f>
        <v>俳諧発句題叢 / 椿丘太?編 ; 名所春 - 名所冬.-- 上総屋利兵衛.上総屋惣兵衛; 文政6(1823)年6月刊.</v>
      </c>
    </row>
    <row r="1057" spans="1:3" ht="11.25">
      <c r="A1057" s="3" t="str">
        <f>"911.3/111//MASAOKA"</f>
        <v>911.3/111//MASAOKA</v>
      </c>
      <c r="B1057" s="3">
        <f>""</f>
      </c>
      <c r="C1057" s="3" t="str">
        <f>"俳諧四季艸 / [著者不明].-- [出版者不明]; [出版年不明]."</f>
        <v>俳諧四季艸 / [著者不明].-- [出版者不明]; [出版年不明].</v>
      </c>
    </row>
    <row r="1058" spans="1:3" ht="11.25">
      <c r="A1058" s="3" t="str">
        <f>"911.3/112//MASAOKA"</f>
        <v>911.3/112//MASAOKA</v>
      </c>
      <c r="B1058" s="3">
        <f>""</f>
      </c>
      <c r="C1058" s="3" t="str">
        <f>"俳諧浅草名所一覧 : 画入 / 桂心居貞之編 ; 全.-- 中屋徳兵衛[ほか7軒]; 安政5(1858)年秋刊."</f>
        <v>俳諧浅草名所一覧 : 画入 / 桂心居貞之編 ; 全.-- 中屋徳兵衛[ほか7軒]; 安政5(1858)年秋刊.</v>
      </c>
    </row>
    <row r="1059" spans="1:3" ht="11.25">
      <c r="A1059" s="3" t="str">
        <f>"911.3/113//MASAOKA"</f>
        <v>911.3/113//MASAOKA</v>
      </c>
      <c r="B1059" s="3">
        <f>""</f>
      </c>
      <c r="C1059" s="3" t="str">
        <f>"俳諧道中記 / 沼尻為作編 ; 全.-- 石井虎吉; 明治16(1883)年8月."</f>
        <v>俳諧道中記 / 沼尻為作編 ; 全.-- 石井虎吉; 明治16(1883)年8月.</v>
      </c>
    </row>
    <row r="1060" spans="1:3" ht="11.25">
      <c r="A1060" s="3" t="str">
        <f>"911.3/114/1/MASAOKA"</f>
        <v>911.3/114/1/MASAOKA</v>
      </c>
      <c r="B1060" s="3" t="str">
        <f>"上"</f>
        <v>上</v>
      </c>
      <c r="C1060" s="3" t="str">
        <f>"俳諧文政発句集 / 月窓亭秋崖編 ; 上・下, 上, 下.-- 河内屋茂兵衛[ほか3軒]; 天保3(1832)年12月刊."</f>
        <v>俳諧文政発句集 / 月窓亭秋崖編 ; 上・下, 上, 下.-- 河内屋茂兵衛[ほか3軒]; 天保3(1832)年12月刊.</v>
      </c>
    </row>
    <row r="1061" spans="1:3" ht="11.25">
      <c r="A1061" s="3" t="str">
        <f>"911.3/114/2/MASAOKA"</f>
        <v>911.3/114/2/MASAOKA</v>
      </c>
      <c r="B1061" s="3" t="str">
        <f>"下"</f>
        <v>下</v>
      </c>
      <c r="C1061" s="3" t="str">
        <f>"俳諧文政発句集 / 月窓亭秋崖編 ; 上・下, 上, 下.-- 河内屋茂兵衛[ほか3軒]; 天保3(1832)年12月刊."</f>
        <v>俳諧文政発句集 / 月窓亭秋崖編 ; 上・下, 上, 下.-- 河内屋茂兵衛[ほか3軒]; 天保3(1832)年12月刊.</v>
      </c>
    </row>
    <row r="1062" spans="1:3" ht="11.25">
      <c r="A1062" s="3" t="str">
        <f>"911.3/115//MASAOKA"</f>
        <v>911.3/115//MASAOKA</v>
      </c>
      <c r="B1062" s="3" t="str">
        <f>"春"</f>
        <v>春</v>
      </c>
      <c r="C1062" s="3" t="str">
        <f>"発句万題集 / [冬至庵庚年編] ; 春.-- [出版者不明]; 天保12(1841)年春刊."</f>
        <v>発句万題集 / [冬至庵庚年編] ; 春.-- [出版者不明]; 天保12(1841)年春刊.</v>
      </c>
    </row>
    <row r="1063" spans="1:3" ht="11.25">
      <c r="A1063" s="3" t="str">
        <f>"911.3/115/1/MASAOKA"</f>
        <v>911.3/115/1/MASAOKA</v>
      </c>
      <c r="B1063" s="3" t="str">
        <f>"春"</f>
        <v>春</v>
      </c>
      <c r="C1063" s="3" t="str">
        <f>"発句万題集 / 冬至庵康年編 ; 春, 夏, 冬.-- 英大助[ほか11軒]; 天保12(1841)年3月."</f>
        <v>発句万題集 / 冬至庵康年編 ; 春, 夏, 冬.-- 英大助[ほか11軒]; 天保12(1841)年3月.</v>
      </c>
    </row>
    <row r="1064" spans="1:3" ht="11.25">
      <c r="A1064" s="3" t="str">
        <f>"911.3/115/2/MASAOKA"</f>
        <v>911.3/115/2/MASAOKA</v>
      </c>
      <c r="B1064" s="3" t="str">
        <f>"夏"</f>
        <v>夏</v>
      </c>
      <c r="C1064" s="3" t="str">
        <f>"発句万題集 / 冬至庵康年編 ; 春, 夏, 冬.-- 英大助[ほか11軒]; 天保12(1841)年3月."</f>
        <v>発句万題集 / 冬至庵康年編 ; 春, 夏, 冬.-- 英大助[ほか11軒]; 天保12(1841)年3月.</v>
      </c>
    </row>
    <row r="1065" spans="1:3" ht="11.25">
      <c r="A1065" s="3" t="str">
        <f>"911.3/115/4/MASAOKA"</f>
        <v>911.3/115/4/MASAOKA</v>
      </c>
      <c r="B1065" s="3" t="str">
        <f>"冬"</f>
        <v>冬</v>
      </c>
      <c r="C1065" s="3" t="str">
        <f>"発句万題集 / 冬至庵康年編 ; 春, 夏, 冬.-- 英大助[ほか11軒]; 天保12(1841)年3月."</f>
        <v>発句万題集 / 冬至庵康年編 ; 春, 夏, 冬.-- 英大助[ほか11軒]; 天保12(1841)年3月.</v>
      </c>
    </row>
    <row r="1066" spans="1:3" ht="11.25">
      <c r="A1066" s="3" t="str">
        <f>"911.3/116/1/MASAOKA"</f>
        <v>911.3/116/1/MASAOKA</v>
      </c>
      <c r="B1066" s="3" t="str">
        <f>"1:春.夏"</f>
        <v>1:春.夏</v>
      </c>
      <c r="C1066" s="3" t="str">
        <f>"俳諧新五百題 / 田喜庵護物編 ; 1:春.夏, 2:秋.冬.-- 青雲堂英文; 文政2(1819)年刊."</f>
        <v>俳諧新五百題 / 田喜庵護物編 ; 1:春.夏, 2:秋.冬.-- 青雲堂英文; 文政2(1819)年刊.</v>
      </c>
    </row>
    <row r="1067" spans="1:3" ht="11.25">
      <c r="A1067" s="3" t="str">
        <f>"911.3/116/2/MASAOKA"</f>
        <v>911.3/116/2/MASAOKA</v>
      </c>
      <c r="B1067" s="3" t="str">
        <f>"2:秋.冬"</f>
        <v>2:秋.冬</v>
      </c>
      <c r="C1067" s="3" t="str">
        <f>"俳諧新五百題 / 田喜庵護物編 ; 1:春.夏, 2:秋.冬.-- 青雲堂英文; 文政2(1819)年刊."</f>
        <v>俳諧新五百題 / 田喜庵護物編 ; 1:春.夏, 2:秋.冬.-- 青雲堂英文; 文政2(1819)年刊.</v>
      </c>
    </row>
    <row r="1068" spans="1:3" ht="11.25">
      <c r="A1068" s="3" t="str">
        <f>"911.3/117//MASAOKA"</f>
        <v>911.3/117//MASAOKA</v>
      </c>
      <c r="B1068" s="3">
        <f>""</f>
      </c>
      <c r="C1068" s="3" t="str">
        <f>"頭書本朝文鑑 / 若林寅四郎評註 ; 全.-- 今古堂; 明治25(1892)年6月.-- (俳諧叢書)."</f>
        <v>頭書本朝文鑑 / 若林寅四郎評註 ; 全.-- 今古堂; 明治25(1892)年6月.-- (俳諧叢書).</v>
      </c>
    </row>
    <row r="1069" spans="1:3" ht="11.25">
      <c r="A1069" s="3" t="str">
        <f>"911.3/118/1/MASAOKA"</f>
        <v>911.3/118/1/MASAOKA</v>
      </c>
      <c r="B1069" s="3" t="str">
        <f>"上"</f>
        <v>上</v>
      </c>
      <c r="C1069" s="3" t="str">
        <f>"俳諧今四家発句集 / 酔室其成編 ; 上・下, 上, 下.-- 塩屋忠兵衛[ほか5軒]; 文政8(1825)年4月."</f>
        <v>俳諧今四家発句集 / 酔室其成編 ; 上・下, 上, 下.-- 塩屋忠兵衛[ほか5軒]; 文政8(1825)年4月.</v>
      </c>
    </row>
    <row r="1070" spans="1:3" ht="11.25">
      <c r="A1070" s="3" t="str">
        <f>"911.3/118/2/MASAOKA"</f>
        <v>911.3/118/2/MASAOKA</v>
      </c>
      <c r="B1070" s="3" t="str">
        <f>"下"</f>
        <v>下</v>
      </c>
      <c r="C1070" s="3" t="str">
        <f>"俳諧今四家発句集 / 酔室其成編 ; 上・下, 上, 下.-- 塩屋忠兵衛[ほか5軒]; 文政8(1825)年4月."</f>
        <v>俳諧今四家発句集 / 酔室其成編 ; 上・下, 上, 下.-- 塩屋忠兵衛[ほか5軒]; 文政8(1825)年4月.</v>
      </c>
    </row>
    <row r="1071" spans="1:3" ht="11.25">
      <c r="A1071" s="3" t="str">
        <f>"911.3/119//MASAOKA"</f>
        <v>911.3/119//MASAOKA</v>
      </c>
      <c r="B1071" s="3">
        <f>""</f>
      </c>
      <c r="C1071" s="3" t="str">
        <f>"名所発句集 / 田喜護物編 ; 初編全.-- 永楽屋文助; 天保14(1843)年3月刊行."</f>
        <v>名所発句集 / 田喜護物編 ; 初編全.-- 永楽屋文助; 天保14(1843)年3月刊行.</v>
      </c>
    </row>
    <row r="1072" spans="1:3" ht="11.25">
      <c r="A1072" s="3" t="str">
        <f>"911.3/120//MASAOKA"</f>
        <v>911.3/120//MASAOKA</v>
      </c>
      <c r="B1072" s="3">
        <f>""</f>
      </c>
      <c r="C1072" s="3" t="str">
        <f>"[花秋.花冬] / [著者不明].-- [出版者不明]; [出版年不明]."</f>
        <v>[花秋.花冬] / [著者不明].-- [出版者不明]; [出版年不明].</v>
      </c>
    </row>
    <row r="1073" spans="1:3" ht="11.25">
      <c r="A1073" s="3" t="str">
        <f>"911.3/121//MASAOKA"</f>
        <v>911.3/121//MASAOKA</v>
      </c>
      <c r="B1073" s="3">
        <f>""</f>
      </c>
      <c r="C1073" s="3" t="str">
        <f>"俳人百家撰 / 緑亭川柳編 ; 全.-- 甘泉堂; 嘉永8(1855)年1月刊."</f>
        <v>俳人百家撰 / 緑亭川柳編 ; 全.-- 甘泉堂; 嘉永8(1855)年1月刊.</v>
      </c>
    </row>
    <row r="1074" spans="1:3" ht="11.25">
      <c r="A1074" s="3" t="str">
        <f>"911.3/122/1/MASAOKA"</f>
        <v>911.3/122/1/MASAOKA</v>
      </c>
      <c r="B1074" s="3" t="str">
        <f>"春之部"</f>
        <v>春之部</v>
      </c>
      <c r="C1074" s="3" t="str">
        <f>"新題林発句集 / 周芳史公編 ; 春之部, 秋之部, 雑之部.-- [出版者不明]; 享和1(1801)年春序刊."</f>
        <v>新題林発句集 / 周芳史公編 ; 春之部, 秋之部, 雑之部.-- [出版者不明]; 享和1(1801)年春序刊.</v>
      </c>
    </row>
    <row r="1075" spans="1:3" ht="11.25">
      <c r="A1075" s="3" t="str">
        <f>"911.3/122/3/MASAOKA"</f>
        <v>911.3/122/3/MASAOKA</v>
      </c>
      <c r="B1075" s="3" t="str">
        <f>"秋之部"</f>
        <v>秋之部</v>
      </c>
      <c r="C1075" s="3" t="str">
        <f>"新題林発句集 / 周芳史公編 ; 春之部, 秋之部, 雑之部.-- [出版者不明]; 享和1(1801)年春序刊."</f>
        <v>新題林発句集 / 周芳史公編 ; 春之部, 秋之部, 雑之部.-- [出版者不明]; 享和1(1801)年春序刊.</v>
      </c>
    </row>
    <row r="1076" spans="1:3" ht="11.25">
      <c r="A1076" s="3" t="str">
        <f>"911.3/122/5/MASAOKA"</f>
        <v>911.3/122/5/MASAOKA</v>
      </c>
      <c r="B1076" s="3" t="str">
        <f>"雑之部"</f>
        <v>雑之部</v>
      </c>
      <c r="C1076" s="3" t="str">
        <f>"新題林発句集 / 周芳史公編 ; 春之部, 秋之部, 雑之部.-- [出版者不明]; 享和1(1801)年春序刊."</f>
        <v>新題林発句集 / 周芳史公編 ; 春之部, 秋之部, 雑之部.-- [出版者不明]; 享和1(1801)年春序刊.</v>
      </c>
    </row>
    <row r="1077" spans="1:3" ht="11.25">
      <c r="A1077" s="3" t="str">
        <f>"911.3/123/1/MASAOKA"</f>
        <v>911.3/123/1/MASAOKA</v>
      </c>
      <c r="B1077" s="3" t="str">
        <f>"春"</f>
        <v>春</v>
      </c>
      <c r="C1077" s="3" t="str">
        <f>"芭蕉翁並古人真跡入類題名家発句集 / 幻住庵[ケイ]逸[校] ; 春 - 冬.-- 野田治兵衛[ほか6軒]; [嘉永1(1848)年2月成立]."</f>
        <v>芭蕉翁並古人真跡入類題名家発句集 / 幻住庵[ケイ]逸[校] ; 春 - 冬.-- 野田治兵衛[ほか6軒]; [嘉永1(1848)年2月成立].</v>
      </c>
    </row>
    <row r="1078" spans="1:3" ht="11.25">
      <c r="A1078" s="3" t="str">
        <f>"911.3/123/2/MASAOKA"</f>
        <v>911.3/123/2/MASAOKA</v>
      </c>
      <c r="B1078" s="3" t="str">
        <f>"夏"</f>
        <v>夏</v>
      </c>
      <c r="C1078" s="3" t="str">
        <f>"芭蕉翁並古人真跡入類題名家発句集 / 幻住庵[ケイ]逸[校] ; 春 - 冬.-- 野田治兵衛[ほか6軒]; [嘉永1(1848)年2月成立]."</f>
        <v>芭蕉翁並古人真跡入類題名家発句集 / 幻住庵[ケイ]逸[校] ; 春 - 冬.-- 野田治兵衛[ほか6軒]; [嘉永1(1848)年2月成立].</v>
      </c>
    </row>
    <row r="1079" spans="1:3" ht="11.25">
      <c r="A1079" s="3" t="str">
        <f>"911.3/123/3/MASAOKA"</f>
        <v>911.3/123/3/MASAOKA</v>
      </c>
      <c r="B1079" s="3" t="str">
        <f>"秋"</f>
        <v>秋</v>
      </c>
      <c r="C1079" s="3" t="str">
        <f>"芭蕉翁並古人真跡入類題名家発句集 / 幻住庵[ケイ]逸[校] ; 春 - 冬.-- 野田治兵衛[ほか6軒]; [嘉永1(1848)年2月成立]."</f>
        <v>芭蕉翁並古人真跡入類題名家発句集 / 幻住庵[ケイ]逸[校] ; 春 - 冬.-- 野田治兵衛[ほか6軒]; [嘉永1(1848)年2月成立].</v>
      </c>
    </row>
    <row r="1080" spans="1:3" ht="11.25">
      <c r="A1080" s="3" t="str">
        <f>"911.3/123/4/MASAOKA"</f>
        <v>911.3/123/4/MASAOKA</v>
      </c>
      <c r="B1080" s="3" t="str">
        <f>"冬"</f>
        <v>冬</v>
      </c>
      <c r="C1080" s="3" t="str">
        <f>"芭蕉翁並古人真跡入類題名家発句集 / 幻住庵[ケイ]逸[校] ; 春 - 冬.-- 野田治兵衛[ほか6軒]; [嘉永1(1848)年2月成立]."</f>
        <v>芭蕉翁並古人真跡入類題名家発句集 / 幻住庵[ケイ]逸[校] ; 春 - 冬.-- 野田治兵衛[ほか6軒]; [嘉永1(1848)年2月成立].</v>
      </c>
    </row>
    <row r="1081" spans="1:3" ht="11.25">
      <c r="A1081" s="3" t="str">
        <f>"911.3/124/1/MASAOKA"</f>
        <v>911.3/124/1/MASAOKA</v>
      </c>
      <c r="B1081" s="3" t="str">
        <f>"雑之部上"</f>
        <v>雑之部上</v>
      </c>
      <c r="C1081" s="3" t="str">
        <f>"俳諧類題狭蓑集 / 小蓑庵碓嶺 ; 雑之部上・下, 雑之部上, 雑之部下.-- 知新堂; 弘化3(1846)年12月刊."</f>
        <v>俳諧類題狭蓑集 / 小蓑庵碓嶺 ; 雑之部上・下, 雑之部上, 雑之部下.-- 知新堂; 弘化3(1846)年12月刊.</v>
      </c>
    </row>
    <row r="1082" spans="1:3" ht="11.25">
      <c r="A1082" s="3" t="str">
        <f>"911.3/124/2/MASAOKA"</f>
        <v>911.3/124/2/MASAOKA</v>
      </c>
      <c r="B1082" s="3" t="str">
        <f>"雑之部下"</f>
        <v>雑之部下</v>
      </c>
      <c r="C1082" s="3" t="str">
        <f>"俳諧類題狭蓑集 / 小蓑庵碓嶺 ; 雑之部上・下, 雑之部上, 雑之部下.-- 知新堂; 弘化3(1846)年12月刊."</f>
        <v>俳諧類題狭蓑集 / 小蓑庵碓嶺 ; 雑之部上・下, 雑之部上, 雑之部下.-- 知新堂; 弘化3(1846)年12月刊.</v>
      </c>
    </row>
    <row r="1083" spans="1:3" ht="11.25">
      <c r="A1083" s="3" t="str">
        <f>"911.3/125//MASAOKA"</f>
        <v>911.3/125//MASAOKA</v>
      </c>
      <c r="B1083" s="3" t="str">
        <f>"冬之部"</f>
        <v>冬之部</v>
      </c>
      <c r="C1083" s="3" t="str">
        <f>"俳諧発句類題狭蓑集 / 小蓑庵碓嶺編 ; 冬之部.-- 英大助[ほか10軒]; 天保12(1841)年刊."</f>
        <v>俳諧発句類題狭蓑集 / 小蓑庵碓嶺編 ; 冬之部.-- 英大助[ほか10軒]; 天保12(1841)年刊.</v>
      </c>
    </row>
    <row r="1084" spans="1:3" ht="11.25">
      <c r="A1084" s="3" t="str">
        <f>"911.3/126//MASAOKA"</f>
        <v>911.3/126//MASAOKA</v>
      </c>
      <c r="B1084" s="3" t="str">
        <f>"雑之部上 全"</f>
        <v>雑之部上 全</v>
      </c>
      <c r="C1084" s="3" t="str">
        <f>"俳諧類題狭蓑集 / 小蓑庵碓嶺編 ; 雑之部上 全.-- 万笈堂; [弘化3(1846)年2月成立]."</f>
        <v>俳諧類題狭蓑集 / 小蓑庵碓嶺編 ; 雑之部上 全.-- 万笈堂; [弘化3(1846)年2月成立].</v>
      </c>
    </row>
    <row r="1085" spans="1:3" ht="11.25">
      <c r="A1085" s="3" t="str">
        <f>"911.3/127//MASAOKA"</f>
        <v>911.3/127//MASAOKA</v>
      </c>
      <c r="B1085" s="3">
        <f>""</f>
      </c>
      <c r="C1085" s="3" t="str">
        <f>"俳諧百一集 / [八梅舎康工編] ; 全.-- 東国屋長五郎; [嘉永3(1850)年刊]."</f>
        <v>俳諧百一集 / [八梅舎康工編] ; 全.-- 東国屋長五郎; [嘉永3(1850)年刊].</v>
      </c>
    </row>
    <row r="1086" spans="1:3" ht="11.25">
      <c r="A1086" s="3" t="str">
        <f>"911.3/128//MASAOKA"</f>
        <v>911.3/128//MASAOKA</v>
      </c>
      <c r="B1086" s="3">
        <f>""</f>
      </c>
      <c r="C1086" s="3" t="str">
        <f>"故人俳諧画譜 / 文永堂編 ; 全.-- 大島屋; [弘化3(1846)年成立]."</f>
        <v>故人俳諧画譜 / 文永堂編 ; 全.-- 大島屋; [弘化3(1846)年成立].</v>
      </c>
    </row>
    <row r="1087" spans="1:3" ht="11.25">
      <c r="A1087" s="3" t="str">
        <f>"911.3/129//MASAOKA"</f>
        <v>911.3/129//MASAOKA</v>
      </c>
      <c r="B1087" s="3" t="str">
        <f>"上:春、夏之部"</f>
        <v>上:春、夏之部</v>
      </c>
      <c r="C1087" s="3" t="str">
        <f>"俳諧発句類聚 / 青顧盧了輔編 ; 上:春、夏之部.-- [出版者不明]; [文化4(1807)年成立]."</f>
        <v>俳諧発句類聚 / 青顧盧了輔編 ; 上:春、夏之部.-- [出版者不明]; [文化4(1807)年成立].</v>
      </c>
    </row>
    <row r="1088" spans="1:3" ht="11.25">
      <c r="A1088" s="3" t="str">
        <f>"911.3/130//MASAOKA"</f>
        <v>911.3/130//MASAOKA</v>
      </c>
      <c r="B1088" s="3" t="str">
        <f>"秋冬"</f>
        <v>秋冬</v>
      </c>
      <c r="C1088" s="3" t="str">
        <f>"発句類題雪車道 / 松岡茶山[編] ; 秋冬.-- 万笈堂; 天保14(1843)年刊."</f>
        <v>発句類題雪車道 / 松岡茶山[編] ; 秋冬.-- 万笈堂; 天保14(1843)年刊.</v>
      </c>
    </row>
    <row r="1089" spans="1:3" ht="11.25">
      <c r="A1089" s="3" t="str">
        <f>"911.3/131//MASAOKA"</f>
        <v>911.3/131//MASAOKA</v>
      </c>
      <c r="B1089" s="3" t="str">
        <f>"初編上"</f>
        <v>初編上</v>
      </c>
      <c r="C1089" s="3" t="str">
        <f>"俳諧人名録 / [惟草庵惟草編] ; 初編上.-- [出版者不明]; [天保7(1836)年刊]."</f>
        <v>俳諧人名録 / [惟草庵惟草編] ; 初編上.-- [出版者不明]; [天保7(1836)年刊].</v>
      </c>
    </row>
    <row r="1090" spans="1:3" ht="11.25">
      <c r="A1090" s="3" t="str">
        <f>"911.3/132/2/MASAOKA"</f>
        <v>911.3/132/2/MASAOKA</v>
      </c>
      <c r="B1090" s="3" t="str">
        <f>"夏之部"</f>
        <v>夏之部</v>
      </c>
      <c r="C1090" s="3" t="str">
        <f>"新類題発句集 / [五升庵蝶夢編] ; 夏之部, 秋之部, 冬之部.-- [出版者不明]; [出版年不明]."</f>
        <v>新類題発句集 / [五升庵蝶夢編] ; 夏之部, 秋之部, 冬之部.-- [出版者不明]; [出版年不明].</v>
      </c>
    </row>
    <row r="1091" spans="1:3" ht="11.25">
      <c r="A1091" s="3" t="str">
        <f>"911.3/132/3/MASAOKA"</f>
        <v>911.3/132/3/MASAOKA</v>
      </c>
      <c r="B1091" s="3" t="str">
        <f>"秋之部"</f>
        <v>秋之部</v>
      </c>
      <c r="C1091" s="3" t="str">
        <f>"新類題発句集 / [五升庵蝶夢編] ; 夏之部, 秋之部, 冬之部.-- [出版者不明]; [出版年不明]."</f>
        <v>新類題発句集 / [五升庵蝶夢編] ; 夏之部, 秋之部, 冬之部.-- [出版者不明]; [出版年不明].</v>
      </c>
    </row>
    <row r="1092" spans="1:3" ht="11.25">
      <c r="A1092" s="3" t="str">
        <f>"911.3/132/4/MASAOKA"</f>
        <v>911.3/132/4/MASAOKA</v>
      </c>
      <c r="B1092" s="3" t="str">
        <f>"冬之部"</f>
        <v>冬之部</v>
      </c>
      <c r="C1092" s="3" t="str">
        <f>"新類題発句集 / [五升庵蝶夢編] ; 夏之部, 秋之部, 冬之部.-- [出版者不明]; [出版年不明]."</f>
        <v>新類題発句集 / [五升庵蝶夢編] ; 夏之部, 秋之部, 冬之部.-- [出版者不明]; [出版年不明].</v>
      </c>
    </row>
    <row r="1093" spans="1:3" ht="11.25">
      <c r="A1093" s="3" t="str">
        <f>"911.3/133//MASAOKA"</f>
        <v>911.3/133//MASAOKA</v>
      </c>
      <c r="B1093" s="3">
        <f>""</f>
      </c>
      <c r="C1093" s="3" t="str">
        <f>"おくのほそ道 / 松尾芭蕉著.-- 井筒屋庄兵衛; [明和7(1770)年10月成立]."</f>
        <v>おくのほそ道 / 松尾芭蕉著.-- 井筒屋庄兵衛; [明和7(1770)年10月成立].</v>
      </c>
    </row>
    <row r="1094" spans="1:3" ht="11.25">
      <c r="A1094" s="3" t="str">
        <f>"911.3/134//MASAOKA"</f>
        <v>911.3/134//MASAOKA</v>
      </c>
      <c r="B1094" s="3">
        <f>""</f>
      </c>
      <c r="C1094" s="3" t="str">
        <f>"誹諧蘆分船 / 立羽不角編 ; 全.-- [出版者不明]; [元禄7(1694)年6月成立]."</f>
        <v>誹諧蘆分船 / 立羽不角編 ; 全.-- [出版者不明]; [元禄7(1694)年6月成立].</v>
      </c>
    </row>
    <row r="1095" spans="1:3" ht="11.25">
      <c r="A1095" s="3" t="str">
        <f>"911.3/135//MASAOKA"</f>
        <v>911.3/135//MASAOKA</v>
      </c>
      <c r="B1095" s="3">
        <f>""</f>
      </c>
      <c r="C1095" s="3" t="str">
        <f>"游俳百仙集 / 得々庵.-- [出版者不明]; 文久1(1861)年秋."</f>
        <v>游俳百仙集 / 得々庵.-- [出版者不明]; 文久1(1861)年秋.</v>
      </c>
    </row>
    <row r="1096" spans="1:3" ht="11.25">
      <c r="A1096" s="3" t="str">
        <f>"911.3/136//MASAOKA"</f>
        <v>911.3/136//MASAOKA</v>
      </c>
      <c r="B1096" s="3">
        <f>""</f>
      </c>
      <c r="C1096" s="3" t="str">
        <f>"俳諧叢書鶉衣 / 半掃菴也有著.-- 筒井民治郎; 明治24(1891)年12月."</f>
        <v>俳諧叢書鶉衣 / 半掃菴也有著.-- 筒井民治郎; 明治24(1891)年12月.</v>
      </c>
    </row>
    <row r="1097" spans="1:3" ht="11.25">
      <c r="A1097" s="3" t="str">
        <f>"911.3/137//MASAOKA"</f>
        <v>911.3/137//MASAOKA</v>
      </c>
      <c r="B1097" s="3">
        <f>""</f>
      </c>
      <c r="C1097" s="3" t="str">
        <f>"芭蕉翁行脚怪談袋 / 筒井民治郎.-- 今古堂; 明治24(1891)年4月."</f>
        <v>芭蕉翁行脚怪談袋 / 筒井民治郎.-- 今古堂; 明治24(1891)年4月.</v>
      </c>
    </row>
    <row r="1098" spans="1:3" ht="11.25">
      <c r="A1098" s="3" t="str">
        <f>"911.3/138//MASAOKA"</f>
        <v>911.3/138//MASAOKA</v>
      </c>
      <c r="B1098" s="3">
        <f>""</f>
      </c>
      <c r="C1098" s="3" t="str">
        <f>"註釈奥の細道 / 三宅木仙著.-- 俳書堂; 明治36(1903)年5月."</f>
        <v>註釈奥の細道 / 三宅木仙著.-- 俳書堂; 明治36(1903)年5月.</v>
      </c>
    </row>
    <row r="1099" spans="1:3" ht="11.25">
      <c r="A1099" s="3" t="str">
        <f>"911.3/138/b/MASAOKA"</f>
        <v>911.3/138/b/MASAOKA</v>
      </c>
      <c r="B1099" s="3">
        <f>""</f>
      </c>
      <c r="C1099" s="3" t="str">
        <f>"註釈奥の細道 / 三宅木仙著.-- 俳書堂; 明治36(1903)年5月."</f>
        <v>註釈奥の細道 / 三宅木仙著.-- 俳書堂; 明治36(1903)年5月.</v>
      </c>
    </row>
    <row r="1100" spans="1:3" ht="11.25">
      <c r="A1100" s="3" t="str">
        <f>"911.3/139//MASAOKA"</f>
        <v>911.3/139//MASAOKA</v>
      </c>
      <c r="B1100" s="3">
        <f>""</f>
      </c>
      <c r="C1100" s="3" t="str">
        <f>"おくのほそ道 / 松尾芭蕉著.-- [出版者不明]; [出版年不明]."</f>
        <v>おくのほそ道 / 松尾芭蕉著.-- [出版者不明]; [出版年不明].</v>
      </c>
    </row>
    <row r="1101" spans="1:3" ht="11.25">
      <c r="A1101" s="3" t="str">
        <f>"911.3/140//MASAOKA"</f>
        <v>911.3/140//MASAOKA</v>
      </c>
      <c r="B1101" s="3">
        <f>""</f>
      </c>
      <c r="C1101" s="3" t="str">
        <f>"誹材三国人名牒 / 古来庵存義編 ; 完.-- 須原屋伊八; 文化9(1812)年1月."</f>
        <v>誹材三国人名牒 / 古来庵存義編 ; 完.-- 須原屋伊八; 文化9(1812)年1月.</v>
      </c>
    </row>
    <row r="1102" spans="1:3" ht="11.25">
      <c r="A1102" s="3" t="str">
        <f>"911.3/141//MASAOKA"</f>
        <v>911.3/141//MASAOKA</v>
      </c>
      <c r="B1102" s="3">
        <f>""</f>
      </c>
      <c r="C1102" s="3" t="str">
        <f>"守中菴一兮遺稿 / 五十嵐三省編.-- 五十嵐三省; 明治27(1894)年9月."</f>
        <v>守中菴一兮遺稿 / 五十嵐三省編.-- 五十嵐三省; 明治27(1894)年9月.</v>
      </c>
    </row>
    <row r="1103" spans="1:3" ht="11.25">
      <c r="A1103" s="3" t="str">
        <f>"911.3/142/1/MASAOKA"</f>
        <v>911.3/142/1/MASAOKA</v>
      </c>
      <c r="B1103" s="3" t="str">
        <f>"春之部(青)"</f>
        <v>春之部(青)</v>
      </c>
      <c r="C1103" s="3" t="str">
        <f>"誹諧洗濯物 / [牛露軒一雪編] ; 春之部(青) - 冬之部.-- [出版者不明]; [寛文6(1666)年1月成立]."</f>
        <v>誹諧洗濯物 / [牛露軒一雪編] ; 春之部(青) - 冬之部.-- [出版者不明]; [寛文6(1666)年1月成立].</v>
      </c>
    </row>
    <row r="1104" spans="1:3" ht="11.25">
      <c r="A1104" s="3" t="str">
        <f>"911.3/142/2/MASAOKA"</f>
        <v>911.3/142/2/MASAOKA</v>
      </c>
      <c r="B1104" s="3" t="str">
        <f>"夏之部(赤)"</f>
        <v>夏之部(赤)</v>
      </c>
      <c r="C1104" s="3" t="str">
        <f>"誹諧洗濯物 / [牛露軒一雪編] ; 春之部(青) - 冬之部.-- [出版者不明]; [寛文6(1666)年1月成立]."</f>
        <v>誹諧洗濯物 / [牛露軒一雪編] ; 春之部(青) - 冬之部.-- [出版者不明]; [寛文6(1666)年1月成立].</v>
      </c>
    </row>
    <row r="1105" spans="1:3" ht="11.25">
      <c r="A1105" s="3" t="str">
        <f>"911.3/142/3/MASAOKA"</f>
        <v>911.3/142/3/MASAOKA</v>
      </c>
      <c r="B1105" s="3" t="str">
        <f>"秋之部(白)"</f>
        <v>秋之部(白)</v>
      </c>
      <c r="C1105" s="3" t="str">
        <f>"誹諧洗濯物 / [牛露軒一雪編] ; 春之部(青) - 冬之部.-- [出版者不明]; [寛文6(1666)年1月成立]."</f>
        <v>誹諧洗濯物 / [牛露軒一雪編] ; 春之部(青) - 冬之部.-- [出版者不明]; [寛文6(1666)年1月成立].</v>
      </c>
    </row>
    <row r="1106" spans="1:3" ht="11.25">
      <c r="A1106" s="3" t="str">
        <f>"911.3/142/4/MASAOKA"</f>
        <v>911.3/142/4/MASAOKA</v>
      </c>
      <c r="B1106" s="3" t="str">
        <f>"冬之部"</f>
        <v>冬之部</v>
      </c>
      <c r="C1106" s="3" t="str">
        <f>"誹諧洗濯物 / [牛露軒一雪編] ; 春之部(青) - 冬之部.-- [出版者不明]; [寛文6(1666)年1月成立]."</f>
        <v>誹諧洗濯物 / [牛露軒一雪編] ; 春之部(青) - 冬之部.-- [出版者不明]; [寛文6(1666)年1月成立].</v>
      </c>
    </row>
    <row r="1107" spans="1:3" ht="11.25">
      <c r="A1107" s="3" t="str">
        <f>"911.3/143/1/MASAOKA"</f>
        <v>911.3/143/1/MASAOKA</v>
      </c>
      <c r="B1107" s="3" t="str">
        <f>"名所上(都)"</f>
        <v>名所上(都)</v>
      </c>
      <c r="C1107" s="3" t="str">
        <f>"洗濯綴 / 牛露軒一雪編 ; 名所上(都), 名所下(郡), 名所下(都).-- [出版者不明]; [寛文6(1666)年1月成立]."</f>
        <v>洗濯綴 / 牛露軒一雪編 ; 名所上(都), 名所下(郡), 名所下(都).-- [出版者不明]; [寛文6(1666)年1月成立].</v>
      </c>
    </row>
    <row r="1108" spans="1:3" ht="11.25">
      <c r="A1108" s="3" t="str">
        <f>"911.3/143/2/MASAOKA"</f>
        <v>911.3/143/2/MASAOKA</v>
      </c>
      <c r="B1108" s="3" t="str">
        <f>"名所下(都)"</f>
        <v>名所下(都)</v>
      </c>
      <c r="C1108" s="3" t="str">
        <f>"洗濯綴 / 牛露軒一雪編 ; 名所上(都), 名所下(郡), 名所下(都).-- [出版者不明]; [寛文6(1666)年1月成立]."</f>
        <v>洗濯綴 / 牛露軒一雪編 ; 名所上(都), 名所下(郡), 名所下(都).-- [出版者不明]; [寛文6(1666)年1月成立].</v>
      </c>
    </row>
    <row r="1109" spans="1:3" ht="11.25">
      <c r="A1109" s="3" t="str">
        <f>"911.3/144//MASAOKA"</f>
        <v>911.3/144//MASAOKA</v>
      </c>
      <c r="B1109" s="3">
        <f>""</f>
      </c>
      <c r="C1109" s="3" t="str">
        <f>"南無俳諧 / [東花坊支考編] ; 全.-- [出版者不明]; [延享2(1745)年12月成立]."</f>
        <v>南無俳諧 / [東花坊支考編] ; 全.-- [出版者不明]; [延享2(1745)年12月成立].</v>
      </c>
    </row>
    <row r="1110" spans="1:3" ht="11.25">
      <c r="A1110" s="3" t="str">
        <f>"911.3/145//MASAOKA"</f>
        <v>911.3/145//MASAOKA</v>
      </c>
      <c r="B1110" s="3">
        <f>""</f>
      </c>
      <c r="C1110" s="3" t="str">
        <f>"侘斎八朶翁評月並句合.雪中庵評月並三題句合 / 侘齋八朶翁[ほか].-- [出版者不明]; [天保1(1830)年成立]."</f>
        <v>侘斎八朶翁評月並句合.雪中庵評月並三題句合 / 侘齋八朶翁[ほか].-- [出版者不明]; [天保1(1830)年成立].</v>
      </c>
    </row>
    <row r="1111" spans="1:3" ht="11.25">
      <c r="A1111" s="3" t="str">
        <f>"911.3/146/1/MASAOKA"</f>
        <v>911.3/146/1/MASAOKA</v>
      </c>
      <c r="B1111" s="3" t="str">
        <f>"春夏"</f>
        <v>春夏</v>
      </c>
      <c r="C1111" s="3" t="str">
        <f>"芭蕉句解 / 雪中庵蓼太編 ; 春夏, 秋冬.-- 塩屋弥七; 天保8(1837)年6月."</f>
        <v>芭蕉句解 / 雪中庵蓼太編 ; 春夏, 秋冬.-- 塩屋弥七; 天保8(1837)年6月.</v>
      </c>
    </row>
    <row r="1112" spans="1:3" ht="11.25">
      <c r="A1112" s="3" t="str">
        <f>"911.3/146/2/MASAOKA"</f>
        <v>911.3/146/2/MASAOKA</v>
      </c>
      <c r="B1112" s="3" t="str">
        <f>"秋冬"</f>
        <v>秋冬</v>
      </c>
      <c r="C1112" s="3" t="str">
        <f>"芭蕉句解 / 雪中庵蓼太編 ; 春夏, 秋冬.-- 塩屋弥七; 天保8(1837)年6月."</f>
        <v>芭蕉句解 / 雪中庵蓼太編 ; 春夏, 秋冬.-- 塩屋弥七; 天保8(1837)年6月.</v>
      </c>
    </row>
    <row r="1113" spans="1:3" ht="11.25">
      <c r="A1113" s="3" t="str">
        <f>"911.3/147//MASAOKA"</f>
        <v>911.3/147//MASAOKA</v>
      </c>
      <c r="B1113" s="3">
        <f>""</f>
      </c>
      <c r="C1113" s="3" t="str">
        <f>"天明五巳年雪中庵歳旦帳 / 雪中庵蓼太編.-- [出版者不明]; 天明5(1785)年1月."</f>
        <v>天明五巳年雪中庵歳旦帳 / 雪中庵蓼太編.-- [出版者不明]; 天明5(1785)年1月.</v>
      </c>
    </row>
    <row r="1114" spans="1:3" ht="11.25">
      <c r="A1114" s="3" t="str">
        <f>"911.3/148/1/MASAOKA"</f>
        <v>911.3/148/1/MASAOKA</v>
      </c>
      <c r="B1114" s="3" t="str">
        <f>"日之1(巻之1:仁)"</f>
        <v>日之1(巻之1:仁)</v>
      </c>
      <c r="C1114" s="3" t="str">
        <f>"俳諧古今抄 / 蓮二坊 ; 日之1(巻之1:仁) - 星之5(巻之5:信).-- 野田治兵衛; 享保15(1730)年3月."</f>
        <v>俳諧古今抄 / 蓮二坊 ; 日之1(巻之1:仁) - 星之5(巻之5:信).-- 野田治兵衛; 享保15(1730)年3月.</v>
      </c>
    </row>
    <row r="1115" spans="1:3" ht="11.25">
      <c r="A1115" s="3" t="str">
        <f>"911.3/148/2/MASAOKA"</f>
        <v>911.3/148/2/MASAOKA</v>
      </c>
      <c r="B1115" s="3" t="str">
        <f>"日之2(巻之2:義)"</f>
        <v>日之2(巻之2:義)</v>
      </c>
      <c r="C1115" s="3" t="str">
        <f>"俳諧古今抄 / 蓮二坊 ; 日之1(巻之1:仁) - 星之5(巻之5:信).-- 野田治兵衛; 享保15(1730)年3月."</f>
        <v>俳諧古今抄 / 蓮二坊 ; 日之1(巻之1:仁) - 星之5(巻之5:信).-- 野田治兵衛; 享保15(1730)年3月.</v>
      </c>
    </row>
    <row r="1116" spans="1:3" ht="11.25">
      <c r="A1116" s="3" t="str">
        <f>"911.3/148/3/MASAOKA"</f>
        <v>911.3/148/3/MASAOKA</v>
      </c>
      <c r="B1116" s="3" t="str">
        <f>"日之3(巻之3:礼)"</f>
        <v>日之3(巻之3:礼)</v>
      </c>
      <c r="C1116" s="3" t="str">
        <f>"俳諧古今抄 / 蓮二坊 ; 日之1(巻之1:仁) - 星之5(巻之5:信).-- 野田治兵衛; 享保15(1730)年3月."</f>
        <v>俳諧古今抄 / 蓮二坊 ; 日之1(巻之1:仁) - 星之5(巻之5:信).-- 野田治兵衛; 享保15(1730)年3月.</v>
      </c>
    </row>
    <row r="1117" spans="1:3" ht="11.25">
      <c r="A1117" s="3" t="str">
        <f>"911.3/148/4/MASAOKA"</f>
        <v>911.3/148/4/MASAOKA</v>
      </c>
      <c r="B1117" s="3" t="str">
        <f>"月之4(巻之4:智)"</f>
        <v>月之4(巻之4:智)</v>
      </c>
      <c r="C1117" s="3" t="str">
        <f>"俳諧古今抄 / 蓮二坊 ; 日之1(巻之1:仁) - 星之5(巻之5:信).-- 野田治兵衛; 享保15(1730)年3月."</f>
        <v>俳諧古今抄 / 蓮二坊 ; 日之1(巻之1:仁) - 星之5(巻之5:信).-- 野田治兵衛; 享保15(1730)年3月.</v>
      </c>
    </row>
    <row r="1118" spans="1:3" ht="11.25">
      <c r="A1118" s="3" t="str">
        <f>"911.3/148/5/MASAOKA"</f>
        <v>911.3/148/5/MASAOKA</v>
      </c>
      <c r="B1118" s="3" t="str">
        <f>"星之5(巻之5:信)"</f>
        <v>星之5(巻之5:信)</v>
      </c>
      <c r="C1118" s="3" t="str">
        <f>"俳諧古今抄 / 蓮二坊 ; 日之1(巻之1:仁) - 星之5(巻之5:信).-- 野田治兵衛; 享保15(1730)年3月."</f>
        <v>俳諧古今抄 / 蓮二坊 ; 日之1(巻之1:仁) - 星之5(巻之5:信).-- 野田治兵衛; 享保15(1730)年3月.</v>
      </c>
    </row>
    <row r="1119" spans="1:3" ht="11.25">
      <c r="A1119" s="3" t="str">
        <f>"911.3/149/1/MASAOKA"</f>
        <v>911.3/149/1/MASAOKA</v>
      </c>
      <c r="B1119" s="3" t="str">
        <f>"上"</f>
        <v>上</v>
      </c>
      <c r="C1119" s="3" t="str">
        <f>"俳諧綾錦 / [菊岡[セン]涼編] ; 上・中・下 - 下.-- 西村源六; 享保17(1732)年夏自序."</f>
        <v>俳諧綾錦 / [菊岡[セン]涼編] ; 上・中・下 - 下.-- 西村源六; 享保17(1732)年夏自序.</v>
      </c>
    </row>
    <row r="1120" spans="1:3" ht="11.25">
      <c r="A1120" s="3" t="str">
        <f>"911.3/149/2/MASAOKA"</f>
        <v>911.3/149/2/MASAOKA</v>
      </c>
      <c r="B1120" s="3" t="str">
        <f>"中"</f>
        <v>中</v>
      </c>
      <c r="C1120" s="3" t="str">
        <f>"俳諧綾錦 / [菊岡[セン]涼編] ; 上・中・下 - 下.-- 西村源六; 享保17(1732)年夏自序."</f>
        <v>俳諧綾錦 / [菊岡[セン]涼編] ; 上・中・下 - 下.-- 西村源六; 享保17(1732)年夏自序.</v>
      </c>
    </row>
    <row r="1121" spans="1:3" ht="11.25">
      <c r="A1121" s="3" t="str">
        <f>"911.3/149/3/MASAOKA"</f>
        <v>911.3/149/3/MASAOKA</v>
      </c>
      <c r="B1121" s="3" t="str">
        <f>"下"</f>
        <v>下</v>
      </c>
      <c r="C1121" s="3" t="str">
        <f>"俳諧綾錦 / [菊岡[セン]涼編] ; 上・中・下 - 下.-- 西村源六; 享保17(1732)年夏自序."</f>
        <v>俳諧綾錦 / [菊岡[セン]涼編] ; 上・中・下 - 下.-- 西村源六; 享保17(1732)年夏自序.</v>
      </c>
    </row>
    <row r="1122" spans="1:3" ht="11.25">
      <c r="A1122" s="3" t="str">
        <f>"911.3/150/1/MASAOKA"</f>
        <v>911.3/150/1/MASAOKA</v>
      </c>
      <c r="B1122" s="3" t="str">
        <f>"始"</f>
        <v>始</v>
      </c>
      <c r="C1122" s="3" t="str">
        <f>"文星観 / 廬元坊撰 ; 始, 終.-- 橘屋治兵衛; 享保17(1732)年12月."</f>
        <v>文星観 / 廬元坊撰 ; 始, 終.-- 橘屋治兵衛; 享保17(1732)年12月.</v>
      </c>
    </row>
    <row r="1123" spans="1:3" ht="11.25">
      <c r="A1123" s="3" t="str">
        <f>"911.3/150/2/MASAOKA"</f>
        <v>911.3/150/2/MASAOKA</v>
      </c>
      <c r="B1123" s="3" t="str">
        <f>"終"</f>
        <v>終</v>
      </c>
      <c r="C1123" s="3" t="str">
        <f>"文星観 / 廬元坊撰 ; 始, 終.-- 橘屋治兵衛; 享保17(1732)年12月."</f>
        <v>文星観 / 廬元坊撰 ; 始, 終.-- 橘屋治兵衛; 享保17(1732)年12月.</v>
      </c>
    </row>
    <row r="1124" spans="1:3" ht="11.25">
      <c r="A1124" s="3" t="str">
        <f>"911.3/151/1/MASAOKA"</f>
        <v>911.3/151/1/MASAOKA</v>
      </c>
      <c r="B1124" s="3" t="str">
        <f>"上"</f>
        <v>上</v>
      </c>
      <c r="C1124" s="3" t="str">
        <f>"芭蕉翁俳諧集 / [蝶夢幻阿弥陀仏編] ; 上・中・下 - 下.-- 橘屋治兵衛[ほか1軒]; 天明6(1786)年7月."</f>
        <v>芭蕉翁俳諧集 / [蝶夢幻阿弥陀仏編] ; 上・中・下 - 下.-- 橘屋治兵衛[ほか1軒]; 天明6(1786)年7月.</v>
      </c>
    </row>
    <row r="1125" spans="1:3" ht="11.25">
      <c r="A1125" s="3" t="str">
        <f>"911.3/151/2/MASAOKA"</f>
        <v>911.3/151/2/MASAOKA</v>
      </c>
      <c r="B1125" s="3" t="str">
        <f>"中"</f>
        <v>中</v>
      </c>
      <c r="C1125" s="3" t="str">
        <f>"芭蕉翁俳諧集 / [蝶夢幻阿弥陀仏編] ; 上・中・下 - 下.-- 橘屋治兵衛[ほか1軒]; 天明6(1786)年7月."</f>
        <v>芭蕉翁俳諧集 / [蝶夢幻阿弥陀仏編] ; 上・中・下 - 下.-- 橘屋治兵衛[ほか1軒]; 天明6(1786)年7月.</v>
      </c>
    </row>
    <row r="1126" spans="1:3" ht="11.25">
      <c r="A1126" s="3" t="str">
        <f>"911.3/151/3/MASAOKA"</f>
        <v>911.3/151/3/MASAOKA</v>
      </c>
      <c r="B1126" s="3" t="str">
        <f>"下"</f>
        <v>下</v>
      </c>
      <c r="C1126" s="3" t="str">
        <f>"芭蕉翁俳諧集 / [蝶夢幻阿弥陀仏編] ; 上・中・下 - 下.-- 橘屋治兵衛[ほか1軒]; 天明6(1786)年7月."</f>
        <v>芭蕉翁俳諧集 / [蝶夢幻阿弥陀仏編] ; 上・中・下 - 下.-- 橘屋治兵衛[ほか1軒]; 天明6(1786)年7月.</v>
      </c>
    </row>
    <row r="1127" spans="1:3" ht="11.25">
      <c r="A1127" s="3" t="str">
        <f>"911.3/152/1/MASAOKA"</f>
        <v>911.3/152/1/MASAOKA</v>
      </c>
      <c r="B1127" s="3" t="str">
        <f>"乾"</f>
        <v>乾</v>
      </c>
      <c r="C1127" s="3" t="str">
        <f>"俳諧恒之誠 / [竹珂園見爾編] ; 乾・坤, 乾, 坤.-- 橘屋治兵衛; 安永3(1774)年春自序."</f>
        <v>俳諧恒之誠 / [竹珂園見爾編] ; 乾・坤, 乾, 坤.-- 橘屋治兵衛; 安永3(1774)年春自序.</v>
      </c>
    </row>
    <row r="1128" spans="1:3" ht="11.25">
      <c r="A1128" s="3" t="str">
        <f>"911.3/152/2/MASAOKA"</f>
        <v>911.3/152/2/MASAOKA</v>
      </c>
      <c r="B1128" s="3" t="str">
        <f>"坤"</f>
        <v>坤</v>
      </c>
      <c r="C1128" s="3" t="str">
        <f>"俳諧恒之誠 / [竹珂園見爾編] ; 乾・坤, 乾, 坤.-- 橘屋治兵衛; 安永3(1774)年春自序."</f>
        <v>俳諧恒之誠 / [竹珂園見爾編] ; 乾・坤, 乾, 坤.-- 橘屋治兵衛; 安永3(1774)年春自序.</v>
      </c>
    </row>
    <row r="1129" spans="1:3" ht="11.25">
      <c r="A1129" s="3" t="str">
        <f>"911.3/153/1/MASAOKA"</f>
        <v>911.3/153/1/MASAOKA</v>
      </c>
      <c r="B1129" s="3" t="str">
        <f>"建(上巻)"</f>
        <v>建(上巻)</v>
      </c>
      <c r="C1129" s="3" t="str">
        <f>"誹諧すみたはら / 野坡,孤屋,利牛編 ; 建(上巻), 順(下巻).-- 本屋藤助[ほか1軒]; 元禄7(1694)年6月."</f>
        <v>誹諧すみたはら / 野坡,孤屋,利牛編 ; 建(上巻), 順(下巻).-- 本屋藤助[ほか1軒]; 元禄7(1694)年6月.</v>
      </c>
    </row>
    <row r="1130" spans="1:3" ht="11.25">
      <c r="A1130" s="3" t="str">
        <f>"911.3/153/2/MASAOKA"</f>
        <v>911.3/153/2/MASAOKA</v>
      </c>
      <c r="B1130" s="3" t="str">
        <f>"順(下巻)"</f>
        <v>順(下巻)</v>
      </c>
      <c r="C1130" s="3" t="str">
        <f>"誹諧すみたはら / 野坡,孤屋,利牛編 ; 建(上巻), 順(下巻).-- 本屋藤助[ほか1軒]; 元禄7(1694)年6月."</f>
        <v>誹諧すみたはら / 野坡,孤屋,利牛編 ; 建(上巻), 順(下巻).-- 本屋藤助[ほか1軒]; 元禄7(1694)年6月.</v>
      </c>
    </row>
    <row r="1131" spans="1:3" ht="11.25">
      <c r="A1131" s="3" t="str">
        <f>"911.3/154/1/MASAOKA"</f>
        <v>911.3/154/1/MASAOKA</v>
      </c>
      <c r="B1131" s="3" t="str">
        <f>"1"</f>
        <v>1</v>
      </c>
      <c r="C1131" s="3" t="str">
        <f>"枇杷園七部集 / [枇杷園朱樹翁] ; 1-4 - 4.-- 尾張東壁堂; [文化11(1814)年夏成立]."</f>
        <v>枇杷園七部集 / [枇杷園朱樹翁] ; 1-4 - 4.-- 尾張東壁堂; [文化11(1814)年夏成立].</v>
      </c>
    </row>
    <row r="1132" spans="1:3" ht="11.25">
      <c r="A1132" s="3" t="str">
        <f>"911.3/154/2/MASAOKA"</f>
        <v>911.3/154/2/MASAOKA</v>
      </c>
      <c r="B1132" s="3" t="str">
        <f>"2"</f>
        <v>2</v>
      </c>
      <c r="C1132" s="3" t="str">
        <f>"枇杷園七部集 / [枇杷園朱樹翁] ; 1-4 - 4.-- 尾張東壁堂; [文化11(1814)年夏成立]."</f>
        <v>枇杷園七部集 / [枇杷園朱樹翁] ; 1-4 - 4.-- 尾張東壁堂; [文化11(1814)年夏成立].</v>
      </c>
    </row>
    <row r="1133" spans="1:3" ht="11.25">
      <c r="A1133" s="3" t="str">
        <f>"911.3/154/3/MASAOKA"</f>
        <v>911.3/154/3/MASAOKA</v>
      </c>
      <c r="B1133" s="3" t="str">
        <f>"3"</f>
        <v>3</v>
      </c>
      <c r="C1133" s="3" t="str">
        <f>"枇杷園七部集 / [枇杷園朱樹翁] ; 1-4 - 4.-- 尾張東壁堂; [文化11(1814)年夏成立]."</f>
        <v>枇杷園七部集 / [枇杷園朱樹翁] ; 1-4 - 4.-- 尾張東壁堂; [文化11(1814)年夏成立].</v>
      </c>
    </row>
    <row r="1134" spans="1:3" ht="11.25">
      <c r="A1134" s="3" t="str">
        <f>"911.3/154/4/MASAOKA"</f>
        <v>911.3/154/4/MASAOKA</v>
      </c>
      <c r="B1134" s="3" t="str">
        <f>"4"</f>
        <v>4</v>
      </c>
      <c r="C1134" s="3" t="str">
        <f>"枇杷園七部集 / [枇杷園朱樹翁] ; 1-4 - 4.-- 尾張東壁堂; [文化11(1814)年夏成立]."</f>
        <v>枇杷園七部集 / [枇杷園朱樹翁] ; 1-4 - 4.-- 尾張東壁堂; [文化11(1814)年夏成立].</v>
      </c>
    </row>
    <row r="1135" spans="1:3" ht="11.25">
      <c r="A1135" s="3" t="str">
        <f>"911.3/155/1/MASAOKA"</f>
        <v>911.3/155/1/MASAOKA</v>
      </c>
      <c r="B1135" s="3" t="str">
        <f>"上"</f>
        <v>上</v>
      </c>
      <c r="C1135" s="3" t="str">
        <f>"誹諧七部集 / 荷兮,去来,凡兆[ほか]編 ; 上・中・下 - 下.-- 井筒屋庄兵衛[ほか2軒]; [寛政8(1796)年以前]."</f>
        <v>誹諧七部集 / 荷兮,去来,凡兆[ほか]編 ; 上・中・下 - 下.-- 井筒屋庄兵衛[ほか2軒]; [寛政8(1796)年以前].</v>
      </c>
    </row>
    <row r="1136" spans="1:3" ht="11.25">
      <c r="A1136" s="3" t="str">
        <f>"911.3/155/2/MASAOKA"</f>
        <v>911.3/155/2/MASAOKA</v>
      </c>
      <c r="B1136" s="3" t="str">
        <f>"中"</f>
        <v>中</v>
      </c>
      <c r="C1136" s="3" t="str">
        <f>"誹諧七部集 / 荷兮,去来,凡兆[ほか]編 ; 上・中・下 - 下.-- 井筒屋庄兵衛[ほか2軒]; [寛政8(1796)年以前]."</f>
        <v>誹諧七部集 / 荷兮,去来,凡兆[ほか]編 ; 上・中・下 - 下.-- 井筒屋庄兵衛[ほか2軒]; [寛政8(1796)年以前].</v>
      </c>
    </row>
    <row r="1137" spans="1:3" ht="11.25">
      <c r="A1137" s="3" t="str">
        <f>"911.3/155/3/MASAOKA"</f>
        <v>911.3/155/3/MASAOKA</v>
      </c>
      <c r="B1137" s="3" t="str">
        <f>"下"</f>
        <v>下</v>
      </c>
      <c r="C1137" s="3" t="str">
        <f>"誹諧七部集 / 荷兮,去来,凡兆[ほか]編 ; 上・中・下 - 下.-- 井筒屋庄兵衛[ほか2軒]; [寛政8(1796)年以前]."</f>
        <v>誹諧七部集 / 荷兮,去来,凡兆[ほか]編 ; 上・中・下 - 下.-- 井筒屋庄兵衛[ほか2軒]; [寛政8(1796)年以前].</v>
      </c>
    </row>
    <row r="1138" spans="1:3" ht="11.25">
      <c r="A1138" s="3" t="str">
        <f>"911.3/156/1/MASAOKA"</f>
        <v>911.3/156/1/MASAOKA</v>
      </c>
      <c r="B1138" s="3" t="str">
        <f>"1巻"</f>
        <v>1巻</v>
      </c>
      <c r="C1138" s="3" t="str">
        <f aca="true" t="shared" si="27" ref="C1138:C1144">"改式大成清鉋.誹諧清鉋 / 松月堂千翁編 ; 1-6,8巻 - 8巻.-- [自筆板下自家版]; [出版年不明]."</f>
        <v>改式大成清鉋.誹諧清鉋 / 松月堂千翁編 ; 1-6,8巻 - 8巻.-- [自筆板下自家版]; [出版年不明].</v>
      </c>
    </row>
    <row r="1139" spans="1:3" ht="11.25">
      <c r="A1139" s="3" t="str">
        <f>"911.3/156/2/MASAOKA"</f>
        <v>911.3/156/2/MASAOKA</v>
      </c>
      <c r="B1139" s="3" t="str">
        <f>"2巻"</f>
        <v>2巻</v>
      </c>
      <c r="C1139" s="3" t="str">
        <f t="shared" si="27"/>
        <v>改式大成清鉋.誹諧清鉋 / 松月堂千翁編 ; 1-6,8巻 - 8巻.-- [自筆板下自家版]; [出版年不明].</v>
      </c>
    </row>
    <row r="1140" spans="1:3" ht="11.25">
      <c r="A1140" s="3" t="str">
        <f>"911.3/156/3/MASAOKA"</f>
        <v>911.3/156/3/MASAOKA</v>
      </c>
      <c r="B1140" s="3" t="str">
        <f>"3巻"</f>
        <v>3巻</v>
      </c>
      <c r="C1140" s="3" t="str">
        <f t="shared" si="27"/>
        <v>改式大成清鉋.誹諧清鉋 / 松月堂千翁編 ; 1-6,8巻 - 8巻.-- [自筆板下自家版]; [出版年不明].</v>
      </c>
    </row>
    <row r="1141" spans="1:3" ht="11.25">
      <c r="A1141" s="3" t="str">
        <f>"911.3/156/4/MASAOKA"</f>
        <v>911.3/156/4/MASAOKA</v>
      </c>
      <c r="B1141" s="3" t="str">
        <f>"4巻"</f>
        <v>4巻</v>
      </c>
      <c r="C1141" s="3" t="str">
        <f t="shared" si="27"/>
        <v>改式大成清鉋.誹諧清鉋 / 松月堂千翁編 ; 1-6,8巻 - 8巻.-- [自筆板下自家版]; [出版年不明].</v>
      </c>
    </row>
    <row r="1142" spans="1:3" ht="11.25">
      <c r="A1142" s="3" t="str">
        <f>"911.3/156/5/MASAOKA"</f>
        <v>911.3/156/5/MASAOKA</v>
      </c>
      <c r="B1142" s="3" t="str">
        <f>"5巻"</f>
        <v>5巻</v>
      </c>
      <c r="C1142" s="3" t="str">
        <f t="shared" si="27"/>
        <v>改式大成清鉋.誹諧清鉋 / 松月堂千翁編 ; 1-6,8巻 - 8巻.-- [自筆板下自家版]; [出版年不明].</v>
      </c>
    </row>
    <row r="1143" spans="1:3" ht="11.25">
      <c r="A1143" s="3" t="str">
        <f>"911.3/156/6/MASAOKA"</f>
        <v>911.3/156/6/MASAOKA</v>
      </c>
      <c r="B1143" s="3" t="str">
        <f>"6巻"</f>
        <v>6巻</v>
      </c>
      <c r="C1143" s="3" t="str">
        <f t="shared" si="27"/>
        <v>改式大成清鉋.誹諧清鉋 / 松月堂千翁編 ; 1-6,8巻 - 8巻.-- [自筆板下自家版]; [出版年不明].</v>
      </c>
    </row>
    <row r="1144" spans="1:3" ht="11.25">
      <c r="A1144" s="3" t="str">
        <f>"911.3/156/8/MASAOKA"</f>
        <v>911.3/156/8/MASAOKA</v>
      </c>
      <c r="B1144" s="3" t="str">
        <f>"8巻"</f>
        <v>8巻</v>
      </c>
      <c r="C1144" s="3" t="str">
        <f t="shared" si="27"/>
        <v>改式大成清鉋.誹諧清鉋 / 松月堂千翁編 ; 1-6,8巻 - 8巻.-- [自筆板下自家版]; [出版年不明].</v>
      </c>
    </row>
    <row r="1145" spans="1:3" ht="11.25">
      <c r="A1145" s="3" t="str">
        <f>"911.3/157/1/MASAOKA"</f>
        <v>911.3/157/1/MASAOKA</v>
      </c>
      <c r="B1145" s="3" t="str">
        <f>"天"</f>
        <v>天</v>
      </c>
      <c r="C1145" s="3" t="str">
        <f>"樗良七部集 / 樗良著 ; 天, 地.-- [出版者不明]; [安永6(1777)年以後写]."</f>
        <v>樗良七部集 / 樗良著 ; 天, 地.-- [出版者不明]; [安永6(1777)年以後写].</v>
      </c>
    </row>
    <row r="1146" spans="1:3" ht="11.25">
      <c r="A1146" s="3" t="str">
        <f>"911.3/157/2/MASAOKA"</f>
        <v>911.3/157/2/MASAOKA</v>
      </c>
      <c r="B1146" s="3" t="str">
        <f>"地"</f>
        <v>地</v>
      </c>
      <c r="C1146" s="3" t="str">
        <f>"樗良七部集 / 樗良著 ; 天, 地.-- [出版者不明]; [安永6(1777)年以後写]."</f>
        <v>樗良七部集 / 樗良著 ; 天, 地.-- [出版者不明]; [安永6(1777)年以後写].</v>
      </c>
    </row>
    <row r="1147" spans="1:3" ht="11.25">
      <c r="A1147" s="3" t="str">
        <f>"911.3/158/1/MASAOKA"</f>
        <v>911.3/158/1/MASAOKA</v>
      </c>
      <c r="B1147" s="3" t="str">
        <f>"上"</f>
        <v>上</v>
      </c>
      <c r="C1147" s="3" t="str">
        <f>"続都築の原 / 橋梁碓嶺撰 ; 上・下, 上, 下.-- [出版者不明]; [文政3(1820)年春成立]."</f>
        <v>続都築の原 / 橋梁碓嶺撰 ; 上・下, 上, 下.-- [出版者不明]; [文政3(1820)年春成立].</v>
      </c>
    </row>
    <row r="1148" spans="1:3" ht="11.25">
      <c r="A1148" s="3" t="str">
        <f>"911.3/158/2/MASAOKA"</f>
        <v>911.3/158/2/MASAOKA</v>
      </c>
      <c r="B1148" s="3" t="str">
        <f>"下"</f>
        <v>下</v>
      </c>
      <c r="C1148" s="3" t="str">
        <f>"続都築の原 / 橋梁碓嶺撰 ; 上・下, 上, 下.-- [出版者不明]; [文政3(1820)年春成立]."</f>
        <v>続都築の原 / 橋梁碓嶺撰 ; 上・下, 上, 下.-- [出版者不明]; [文政3(1820)年春成立].</v>
      </c>
    </row>
    <row r="1149" spans="1:3" ht="11.25">
      <c r="A1149" s="3" t="str">
        <f>"911.3/159/1/MASAOKA"</f>
        <v>911.3/159/1/MASAOKA</v>
      </c>
      <c r="B1149" s="3" t="str">
        <f>"1"</f>
        <v>1</v>
      </c>
      <c r="C1149" s="3" t="str">
        <f>"俳諧問答 / 森川許六著 ; 1-5 - 5.-- 袴屋久左衛門[ほか5軒]; 寛政12(1799)年11月."</f>
        <v>俳諧問答 / 森川許六著 ; 1-5 - 5.-- 袴屋久左衛門[ほか5軒]; 寛政12(1799)年11月.</v>
      </c>
    </row>
    <row r="1150" spans="1:3" ht="11.25">
      <c r="A1150" s="3" t="str">
        <f>"911.3/159/2/MASAOKA"</f>
        <v>911.3/159/2/MASAOKA</v>
      </c>
      <c r="B1150" s="3" t="str">
        <f>"2"</f>
        <v>2</v>
      </c>
      <c r="C1150" s="3" t="str">
        <f>"俳諧問答 / 森川許六著 ; 1-5 - 5.-- 袴屋久左衛門[ほか5軒]; 寛政12(1799)年11月."</f>
        <v>俳諧問答 / 森川許六著 ; 1-5 - 5.-- 袴屋久左衛門[ほか5軒]; 寛政12(1799)年11月.</v>
      </c>
    </row>
    <row r="1151" spans="1:3" ht="11.25">
      <c r="A1151" s="3" t="str">
        <f>"911.3/159/3/MASAOKA"</f>
        <v>911.3/159/3/MASAOKA</v>
      </c>
      <c r="B1151" s="3" t="str">
        <f>"3"</f>
        <v>3</v>
      </c>
      <c r="C1151" s="3" t="str">
        <f>"俳諧問答 / 森川許六著 ; 1-5 - 5.-- 袴屋久左衛門[ほか5軒]; 寛政12(1799)年11月."</f>
        <v>俳諧問答 / 森川許六著 ; 1-5 - 5.-- 袴屋久左衛門[ほか5軒]; 寛政12(1799)年11月.</v>
      </c>
    </row>
    <row r="1152" spans="1:3" ht="11.25">
      <c r="A1152" s="3" t="str">
        <f>"911.3/159/4/MASAOKA"</f>
        <v>911.3/159/4/MASAOKA</v>
      </c>
      <c r="B1152" s="3" t="str">
        <f>"4"</f>
        <v>4</v>
      </c>
      <c r="C1152" s="3" t="str">
        <f>"俳諧問答 / 森川許六著 ; 1-5 - 5.-- 袴屋久左衛門[ほか5軒]; 寛政12(1799)年11月."</f>
        <v>俳諧問答 / 森川許六著 ; 1-5 - 5.-- 袴屋久左衛門[ほか5軒]; 寛政12(1799)年11月.</v>
      </c>
    </row>
    <row r="1153" spans="1:3" ht="11.25">
      <c r="A1153" s="3" t="str">
        <f>"911.3/159/5/MASAOKA"</f>
        <v>911.3/159/5/MASAOKA</v>
      </c>
      <c r="B1153" s="3" t="str">
        <f>"5"</f>
        <v>5</v>
      </c>
      <c r="C1153" s="3" t="str">
        <f>"俳諧問答 / 森川許六著 ; 1-5 - 5.-- 袴屋久左衛門[ほか5軒]; 寛政12(1799)年11月."</f>
        <v>俳諧問答 / 森川許六著 ; 1-5 - 5.-- 袴屋久左衛門[ほか5軒]; 寛政12(1799)年11月.</v>
      </c>
    </row>
    <row r="1154" spans="1:3" ht="11.25">
      <c r="A1154" s="3" t="str">
        <f>"911.3/160/1/MASAOKA"</f>
        <v>911.3/160/1/MASAOKA</v>
      </c>
      <c r="B1154" s="3" t="str">
        <f>"乾(春之部)"</f>
        <v>乾(春之部)</v>
      </c>
      <c r="C1154" s="3" t="str">
        <f>"俳諧春秋集 / 松花楼三蔦撰 ; 乾(春之部), 坤(秋之部).-- [出版者不明]; [天保6(1835)年7月成立]."</f>
        <v>俳諧春秋集 / 松花楼三蔦撰 ; 乾(春之部), 坤(秋之部).-- [出版者不明]; [天保6(1835)年7月成立].</v>
      </c>
    </row>
    <row r="1155" spans="1:3" ht="11.25">
      <c r="A1155" s="3" t="str">
        <f>"911.3/160/2/MASAOKA"</f>
        <v>911.3/160/2/MASAOKA</v>
      </c>
      <c r="B1155" s="3" t="str">
        <f>"坤(秋之部)"</f>
        <v>坤(秋之部)</v>
      </c>
      <c r="C1155" s="3" t="str">
        <f>"俳諧春秋集 / 松花楼三蔦撰 ; 乾(春之部), 坤(秋之部).-- [出版者不明]; [天保6(1835)年7月成立]."</f>
        <v>俳諧春秋集 / 松花楼三蔦撰 ; 乾(春之部), 坤(秋之部).-- [出版者不明]; [天保6(1835)年7月成立].</v>
      </c>
    </row>
    <row r="1156" spans="1:3" ht="11.25">
      <c r="A1156" s="3" t="str">
        <f>"911.3/161/1/MASAOKA"</f>
        <v>911.3/161/1/MASAOKA</v>
      </c>
      <c r="B1156" s="3" t="str">
        <f>"上"</f>
        <v>上</v>
      </c>
      <c r="C1156" s="3" t="str">
        <f>"芭蕉翁反古文 / [文暁編] ; 上・下, 上, 下.-- 塩屋弥七; 天保8(1837)年6月."</f>
        <v>芭蕉翁反古文 / [文暁編] ; 上・下, 上, 下.-- 塩屋弥七; 天保8(1837)年6月.</v>
      </c>
    </row>
    <row r="1157" spans="1:3" ht="11.25">
      <c r="A1157" s="3" t="str">
        <f>"911.3/161/2/MASAOKA"</f>
        <v>911.3/161/2/MASAOKA</v>
      </c>
      <c r="B1157" s="3" t="str">
        <f>"下"</f>
        <v>下</v>
      </c>
      <c r="C1157" s="3" t="str">
        <f>"芭蕉翁反古文 / [文暁編] ; 上・下, 上, 下.-- 塩屋弥七; 天保8(1837)年6月."</f>
        <v>芭蕉翁反古文 / [文暁編] ; 上・下, 上, 下.-- 塩屋弥七; 天保8(1837)年6月.</v>
      </c>
    </row>
    <row r="1158" spans="1:3" ht="11.25">
      <c r="A1158" s="3" t="str">
        <f>"911.3/162/1/MASAOKA"</f>
        <v>911.3/162/1/MASAOKA</v>
      </c>
      <c r="B1158" s="3" t="str">
        <f>"天"</f>
        <v>天</v>
      </c>
      <c r="C1158" s="3" t="str">
        <f>"誹諧寂栞 / [春秋庵白雄著] . 子規分類:俳 ; 天, 地, 人.-- 英屋文蔵[ほか11軒]; [文化9(1812)年7月成立]."</f>
        <v>誹諧寂栞 / [春秋庵白雄著] . 子規分類:俳 ; 天, 地, 人.-- 英屋文蔵[ほか11軒]; [文化9(1812)年7月成立].</v>
      </c>
    </row>
    <row r="1159" spans="1:3" ht="11.25">
      <c r="A1159" s="3" t="str">
        <f>"911.3/162/2/MASAOKA"</f>
        <v>911.3/162/2/MASAOKA</v>
      </c>
      <c r="B1159" s="3" t="str">
        <f>"地"</f>
        <v>地</v>
      </c>
      <c r="C1159" s="3" t="str">
        <f>"誹諧寂栞 / [春秋庵白雄著] . 子規分類:俳 ; 天, 地, 人.-- 英屋文蔵[ほか11軒]; [文化9(1812)年7月成立]."</f>
        <v>誹諧寂栞 / [春秋庵白雄著] . 子規分類:俳 ; 天, 地, 人.-- 英屋文蔵[ほか11軒]; [文化9(1812)年7月成立].</v>
      </c>
    </row>
    <row r="1160" spans="1:3" ht="11.25">
      <c r="A1160" s="3" t="str">
        <f>"911.3/162/3/MASAOKA"</f>
        <v>911.3/162/3/MASAOKA</v>
      </c>
      <c r="B1160" s="3" t="str">
        <f>"人"</f>
        <v>人</v>
      </c>
      <c r="C1160" s="3" t="str">
        <f>"誹諧寂栞 / [春秋庵白雄著] . 子規分類:俳 ; 天, 地, 人.-- 英屋文蔵[ほか11軒]; [文化9(1812)年7月成立]."</f>
        <v>誹諧寂栞 / [春秋庵白雄著] . 子規分類:俳 ; 天, 地, 人.-- 英屋文蔵[ほか11軒]; [文化9(1812)年7月成立].</v>
      </c>
    </row>
    <row r="1161" spans="1:3" ht="11.25">
      <c r="A1161" s="3" t="str">
        <f>"911.3/163/1/MASAOKA"</f>
        <v>911.3/163/1/MASAOKA</v>
      </c>
      <c r="B1161" s="3" t="str">
        <f>"乾"</f>
        <v>乾</v>
      </c>
      <c r="C1161" s="3" t="str">
        <f>"皮篭摺 / [涼菟編] ; 乾, 坤.-- 西村市郎右衛門; 元禄12(1699)年3月中旬."</f>
        <v>皮篭摺 / [涼菟編] ; 乾, 坤.-- 西村市郎右衛門; 元禄12(1699)年3月中旬.</v>
      </c>
    </row>
    <row r="1162" spans="1:3" ht="11.25">
      <c r="A1162" s="3" t="str">
        <f>"911.3/163/2/MASAOKA"</f>
        <v>911.3/163/2/MASAOKA</v>
      </c>
      <c r="B1162" s="3" t="str">
        <f>"坤"</f>
        <v>坤</v>
      </c>
      <c r="C1162" s="3" t="str">
        <f>"皮篭摺 / [涼菟編] ; 乾, 坤.-- 西村市郎右衛門; 元禄12(1699)年3月中旬."</f>
        <v>皮篭摺 / [涼菟編] ; 乾, 坤.-- 西村市郎右衛門; 元禄12(1699)年3月中旬.</v>
      </c>
    </row>
    <row r="1163" spans="1:3" ht="11.25">
      <c r="A1163" s="3" t="str">
        <f>"911.3/164/1/MASAOKA"</f>
        <v>911.3/164/1/MASAOKA</v>
      </c>
      <c r="B1163" s="3" t="str">
        <f>"上"</f>
        <v>上</v>
      </c>
      <c r="C1163" s="3" t="str">
        <f>"桃の首途 / [廬元坊編] ; 上・中・下 - 下.-- 学古堂; 享保13(1728)年4月."</f>
        <v>桃の首途 / [廬元坊編] ; 上・中・下 - 下.-- 学古堂; 享保13(1728)年4月.</v>
      </c>
    </row>
    <row r="1164" spans="1:3" ht="11.25">
      <c r="A1164" s="3" t="str">
        <f>"911.3/164/2/MASAOKA"</f>
        <v>911.3/164/2/MASAOKA</v>
      </c>
      <c r="B1164" s="3" t="str">
        <f>"中"</f>
        <v>中</v>
      </c>
      <c r="C1164" s="3" t="str">
        <f>"桃の首途 / [廬元坊編] ; 上・中・下 - 下.-- 学古堂; 享保13(1728)年4月."</f>
        <v>桃の首途 / [廬元坊編] ; 上・中・下 - 下.-- 学古堂; 享保13(1728)年4月.</v>
      </c>
    </row>
    <row r="1165" spans="1:3" ht="11.25">
      <c r="A1165" s="3" t="str">
        <f>"911.3/164/3/MASAOKA"</f>
        <v>911.3/164/3/MASAOKA</v>
      </c>
      <c r="B1165" s="3" t="str">
        <f>"下"</f>
        <v>下</v>
      </c>
      <c r="C1165" s="3" t="str">
        <f>"桃の首途 / [廬元坊編] ; 上・中・下 - 下.-- 学古堂; 享保13(1728)年4月."</f>
        <v>桃の首途 / [廬元坊編] ; 上・中・下 - 下.-- 学古堂; 享保13(1728)年4月.</v>
      </c>
    </row>
    <row r="1166" spans="1:3" ht="11.25">
      <c r="A1166" s="3" t="str">
        <f>"911.3/165/1/MASAOKA"</f>
        <v>911.3/165/1/MASAOKA</v>
      </c>
      <c r="B1166" s="3" t="str">
        <f>"天(花鳥之表)"</f>
        <v>天(花鳥之表)</v>
      </c>
      <c r="C1166" s="3" t="str">
        <f>"三千化 / 各務支考編 ; 天(花鳥之表) - 余員(月雪之表・諸国発句).-- 橘屋治兵衛; 享保10(1725)年6月."</f>
        <v>三千化 / 各務支考編 ; 天(花鳥之表) - 余員(月雪之表・諸国発句).-- 橘屋治兵衛; 享保10(1725)年6月.</v>
      </c>
    </row>
    <row r="1167" spans="1:3" ht="11.25">
      <c r="A1167" s="3" t="str">
        <f>"911.3/165/2/MASAOKA"</f>
        <v>911.3/165/2/MASAOKA</v>
      </c>
      <c r="B1167" s="3" t="str">
        <f>"地(月雪之表)"</f>
        <v>地(月雪之表)</v>
      </c>
      <c r="C1167" s="3" t="str">
        <f>"三千化 / 各務支考編 ; 天(花鳥之表) - 余員(月雪之表・諸国発句).-- 橘屋治兵衛; 享保10(1725)年6月."</f>
        <v>三千化 / 各務支考編 ; 天(花鳥之表) - 余員(月雪之表・諸国発句).-- 橘屋治兵衛; 享保10(1725)年6月.</v>
      </c>
    </row>
    <row r="1168" spans="1:3" ht="11.25">
      <c r="A1168" s="3" t="str">
        <f>"911.3/165/3/MASAOKA"</f>
        <v>911.3/165/3/MASAOKA</v>
      </c>
      <c r="B1168" s="3" t="str">
        <f>"人(諸国発句)"</f>
        <v>人(諸国発句)</v>
      </c>
      <c r="C1168" s="3" t="str">
        <f>"三千化 / 各務支考編 ; 天(花鳥之表) - 余員(月雪之表・諸国発句).-- 橘屋治兵衛; 享保10(1725)年6月."</f>
        <v>三千化 / 各務支考編 ; 天(花鳥之表) - 余員(月雪之表・諸国発句).-- 橘屋治兵衛; 享保10(1725)年6月.</v>
      </c>
    </row>
    <row r="1169" spans="1:3" ht="11.25">
      <c r="A1169" s="3" t="str">
        <f>"911.3/165/4/MASAOKA"</f>
        <v>911.3/165/4/MASAOKA</v>
      </c>
      <c r="B1169" s="3" t="str">
        <f>"余員(月雪之表・諸国発句)"</f>
        <v>余員(月雪之表・諸国発句)</v>
      </c>
      <c r="C1169" s="3" t="str">
        <f>"三千化 / 各務支考編 ; 天(花鳥之表) - 余員(月雪之表・諸国発句).-- 橘屋治兵衛; 享保10(1725)年6月."</f>
        <v>三千化 / 各務支考編 ; 天(花鳥之表) - 余員(月雪之表・諸国発句).-- 橘屋治兵衛; 享保10(1725)年6月.</v>
      </c>
    </row>
    <row r="1170" spans="1:3" ht="11.25">
      <c r="A1170" s="3" t="str">
        <f>"911.3/166/1/MASAOKA"</f>
        <v>911.3/166/1/MASAOKA</v>
      </c>
      <c r="B1170" s="3" t="str">
        <f>"上"</f>
        <v>上</v>
      </c>
      <c r="C1170" s="3" t="str">
        <f>"焦尾琴 / [其角編] ; 上・下, 上, 下.-- 万屋清兵衛; [元禄14(1701)年刊]."</f>
        <v>焦尾琴 / [其角編] ; 上・下, 上, 下.-- 万屋清兵衛; [元禄14(1701)年刊].</v>
      </c>
    </row>
    <row r="1171" spans="1:3" ht="11.25">
      <c r="A1171" s="3" t="str">
        <f>"911.3/166/2/MASAOKA"</f>
        <v>911.3/166/2/MASAOKA</v>
      </c>
      <c r="B1171" s="3" t="str">
        <f>"下"</f>
        <v>下</v>
      </c>
      <c r="C1171" s="3" t="str">
        <f>"焦尾琴 / [其角編] ; 上・下, 上, 下.-- 万屋清兵衛; [元禄14(1701)年刊]."</f>
        <v>焦尾琴 / [其角編] ; 上・下, 上, 下.-- 万屋清兵衛; [元禄14(1701)年刊].</v>
      </c>
    </row>
    <row r="1172" spans="1:3" ht="11.25">
      <c r="A1172" s="3" t="str">
        <f>"911.3/167/1/MASAOKA"</f>
        <v>911.3/167/1/MASAOKA</v>
      </c>
      <c r="B1172" s="3" t="str">
        <f>"上"</f>
        <v>上</v>
      </c>
      <c r="C1172" s="3" t="str">
        <f>"月影塚の集 / [如雪庵尺五編] ; 上・下, 上, 下.-- 如雪庵; [安永4(1775)年10月成立]."</f>
        <v>月影塚の集 / [如雪庵尺五編] ; 上・下, 上, 下.-- 如雪庵; [安永4(1775)年10月成立].</v>
      </c>
    </row>
    <row r="1173" spans="1:3" ht="11.25">
      <c r="A1173" s="3" t="str">
        <f>"911.3/167/2/MASAOKA"</f>
        <v>911.3/167/2/MASAOKA</v>
      </c>
      <c r="B1173" s="3" t="str">
        <f>"下"</f>
        <v>下</v>
      </c>
      <c r="C1173" s="3" t="str">
        <f>"月影塚の集 / [如雪庵尺五編] ; 上・下, 上, 下.-- 如雪庵; [安永4(1775)年10月成立]."</f>
        <v>月影塚の集 / [如雪庵尺五編] ; 上・下, 上, 下.-- 如雪庵; [安永4(1775)年10月成立].</v>
      </c>
    </row>
    <row r="1174" spans="1:3" ht="11.25">
      <c r="A1174" s="3" t="str">
        <f>"911.3/168/1/MASAOKA"</f>
        <v>911.3/168/1/MASAOKA</v>
      </c>
      <c r="B1174" s="3" t="str">
        <f>"上"</f>
        <v>上</v>
      </c>
      <c r="C1174" s="3" t="str">
        <f>"鵜の音 / [槐庵馬来編] ; 上・下, 上, 下.-- 橘屋治兵衛[ほか1軒]; 寛政3(1791)年9月."</f>
        <v>鵜の音 / [槐庵馬来編] ; 上・下, 上, 下.-- 橘屋治兵衛[ほか1軒]; 寛政3(1791)年9月.</v>
      </c>
    </row>
    <row r="1175" spans="1:3" ht="11.25">
      <c r="A1175" s="3" t="str">
        <f>"911.3/168/2/MASAOKA"</f>
        <v>911.3/168/2/MASAOKA</v>
      </c>
      <c r="B1175" s="3" t="str">
        <f>"下"</f>
        <v>下</v>
      </c>
      <c r="C1175" s="3" t="str">
        <f>"鵜の音 / [槐庵馬来編] ; 上・下, 上, 下.-- 橘屋治兵衛[ほか1軒]; 寛政3(1791)年9月."</f>
        <v>鵜の音 / [槐庵馬来編] ; 上・下, 上, 下.-- 橘屋治兵衛[ほか1軒]; 寛政3(1791)年9月.</v>
      </c>
    </row>
    <row r="1176" spans="1:3" ht="11.25">
      <c r="A1176" s="3" t="str">
        <f>"911.3/169/1/MASAOKA"</f>
        <v>911.3/169/1/MASAOKA</v>
      </c>
      <c r="B1176" s="3" t="str">
        <f>"巻之1(春)"</f>
        <v>巻之1(春)</v>
      </c>
      <c r="C1176" s="3" t="str">
        <f>"俳諧古選 / 三宅嘯山編 ; 巻之1(春) - 巻之5(雑).-- [出版者不明]; [宝暦10(1760)年10月成立]."</f>
        <v>俳諧古選 / 三宅嘯山編 ; 巻之1(春) - 巻之5(雑).-- [出版者不明]; [宝暦10(1760)年10月成立].</v>
      </c>
    </row>
    <row r="1177" spans="1:3" ht="11.25">
      <c r="A1177" s="3" t="str">
        <f>"911.3/169/2/MASAOKA"</f>
        <v>911.3/169/2/MASAOKA</v>
      </c>
      <c r="B1177" s="3" t="str">
        <f>"巻之2(夏)"</f>
        <v>巻之2(夏)</v>
      </c>
      <c r="C1177" s="3" t="str">
        <f>"俳諧古選 / 三宅嘯山編 ; 巻之1(春) - 巻之5(雑).-- [出版者不明]; [宝暦10(1760)年10月成立]."</f>
        <v>俳諧古選 / 三宅嘯山編 ; 巻之1(春) - 巻之5(雑).-- [出版者不明]; [宝暦10(1760)年10月成立].</v>
      </c>
    </row>
    <row r="1178" spans="1:3" ht="11.25">
      <c r="A1178" s="3" t="str">
        <f>"911.3/169/3/MASAOKA"</f>
        <v>911.3/169/3/MASAOKA</v>
      </c>
      <c r="B1178" s="3" t="str">
        <f>"巻之3(秋)"</f>
        <v>巻之3(秋)</v>
      </c>
      <c r="C1178" s="3" t="str">
        <f>"俳諧古選 / 三宅嘯山編 ; 巻之1(春) - 巻之5(雑).-- [出版者不明]; [宝暦10(1760)年10月成立]."</f>
        <v>俳諧古選 / 三宅嘯山編 ; 巻之1(春) - 巻之5(雑).-- [出版者不明]; [宝暦10(1760)年10月成立].</v>
      </c>
    </row>
    <row r="1179" spans="1:3" ht="11.25">
      <c r="A1179" s="3" t="str">
        <f>"911.3/169/4/MASAOKA"</f>
        <v>911.3/169/4/MASAOKA</v>
      </c>
      <c r="B1179" s="3" t="str">
        <f>"巻之4(冬)"</f>
        <v>巻之4(冬)</v>
      </c>
      <c r="C1179" s="3" t="str">
        <f>"俳諧古選 / 三宅嘯山編 ; 巻之1(春) - 巻之5(雑).-- [出版者不明]; [宝暦10(1760)年10月成立]."</f>
        <v>俳諧古選 / 三宅嘯山編 ; 巻之1(春) - 巻之5(雑).-- [出版者不明]; [宝暦10(1760)年10月成立].</v>
      </c>
    </row>
    <row r="1180" spans="1:3" ht="11.25">
      <c r="A1180" s="3" t="str">
        <f>"911.3/169/5/MASAOKA"</f>
        <v>911.3/169/5/MASAOKA</v>
      </c>
      <c r="B1180" s="3" t="str">
        <f>"巻之5(雑)"</f>
        <v>巻之5(雑)</v>
      </c>
      <c r="C1180" s="3" t="str">
        <f>"俳諧古選 / 三宅嘯山編 ; 巻之1(春) - 巻之5(雑).-- [出版者不明]; [宝暦10(1760)年10月成立]."</f>
        <v>俳諧古選 / 三宅嘯山編 ; 巻之1(春) - 巻之5(雑).-- [出版者不明]; [宝暦10(1760)年10月成立].</v>
      </c>
    </row>
    <row r="1181" spans="1:3" ht="11.25">
      <c r="A1181" s="3" t="str">
        <f>"911.3/170/1/MASAOKA"</f>
        <v>911.3/170/1/MASAOKA</v>
      </c>
      <c r="B1181" s="3" t="str">
        <f>"春冬部"</f>
        <v>春冬部</v>
      </c>
      <c r="C1181" s="3" t="str">
        <f>"名家画譜艸名集 / [大鶴庵編] ; 春冬部, 夏之部, 秋之部.-- 美濃屋伊六[ほか1軒]; [文政5-6(1822-1823)年成立]."</f>
        <v>名家画譜艸名集 / [大鶴庵編] ; 春冬部, 夏之部, 秋之部.-- 美濃屋伊六[ほか1軒]; [文政5-6(1822-1823)年成立].</v>
      </c>
    </row>
    <row r="1182" spans="1:3" ht="11.25">
      <c r="A1182" s="3" t="str">
        <f>"911.3/170/2/MASAOKA"</f>
        <v>911.3/170/2/MASAOKA</v>
      </c>
      <c r="B1182" s="3" t="str">
        <f>"夏之部"</f>
        <v>夏之部</v>
      </c>
      <c r="C1182" s="3" t="str">
        <f>"名家画譜艸名集 / [大鶴庵編] ; 春冬部, 夏之部, 秋之部.-- 美濃屋伊六[ほか1軒]; [文政5-6(1822-1823)年成立]."</f>
        <v>名家画譜艸名集 / [大鶴庵編] ; 春冬部, 夏之部, 秋之部.-- 美濃屋伊六[ほか1軒]; [文政5-6(1822-1823)年成立].</v>
      </c>
    </row>
    <row r="1183" spans="1:3" ht="11.25">
      <c r="A1183" s="3" t="str">
        <f>"911.3/170/3/MASAOKA"</f>
        <v>911.3/170/3/MASAOKA</v>
      </c>
      <c r="B1183" s="3" t="str">
        <f>"秋之部"</f>
        <v>秋之部</v>
      </c>
      <c r="C1183" s="3" t="str">
        <f>"名家画譜艸名集 / [大鶴庵編] ; 春冬部, 夏之部, 秋之部.-- 美濃屋伊六[ほか1軒]; [文政5-6(1822-1823)年成立]."</f>
        <v>名家画譜艸名集 / [大鶴庵編] ; 春冬部, 夏之部, 秋之部.-- 美濃屋伊六[ほか1軒]; [文政5-6(1822-1823)年成立].</v>
      </c>
    </row>
    <row r="1184" spans="1:3" ht="11.25">
      <c r="A1184" s="3" t="str">
        <f>"911.3/171/1/MASAOKA"</f>
        <v>911.3/171/1/MASAOKA</v>
      </c>
      <c r="B1184" s="3" t="str">
        <f>"花"</f>
        <v>花</v>
      </c>
      <c r="C1184" s="3" t="str">
        <f>"俳諧新十家発句集 / 俳諧堂来轡,阿里園六轡編 ; 花 - 月.-- 塩屋忠兵衛[ほか2軒]; 文化10(1813)年1月刊."</f>
        <v>俳諧新十家発句集 / 俳諧堂来轡,阿里園六轡編 ; 花 - 月.-- 塩屋忠兵衛[ほか2軒]; 文化10(1813)年1月刊.</v>
      </c>
    </row>
    <row r="1185" spans="1:3" ht="11.25">
      <c r="A1185" s="3" t="str">
        <f>"911.3/171/2/MASAOKA"</f>
        <v>911.3/171/2/MASAOKA</v>
      </c>
      <c r="B1185" s="3" t="str">
        <f>"鳥"</f>
        <v>鳥</v>
      </c>
      <c r="C1185" s="3" t="str">
        <f>"俳諧新十家発句集 / 俳諧堂来轡,阿里園六轡編 ; 花 - 月.-- 塩屋忠兵衛[ほか2軒]; 文化10(1813)年1月刊."</f>
        <v>俳諧新十家発句集 / 俳諧堂来轡,阿里園六轡編 ; 花 - 月.-- 塩屋忠兵衛[ほか2軒]; 文化10(1813)年1月刊.</v>
      </c>
    </row>
    <row r="1186" spans="1:3" ht="11.25">
      <c r="A1186" s="3" t="str">
        <f>"911.3/171/3/MASAOKA"</f>
        <v>911.3/171/3/MASAOKA</v>
      </c>
      <c r="B1186" s="3" t="str">
        <f>"風"</f>
        <v>風</v>
      </c>
      <c r="C1186" s="3" t="str">
        <f>"俳諧新十家発句集 / 俳諧堂来轡,阿里園六轡編 ; 花 - 月.-- 塩屋忠兵衛[ほか2軒]; 文化10(1813)年1月刊."</f>
        <v>俳諧新十家発句集 / 俳諧堂来轡,阿里園六轡編 ; 花 - 月.-- 塩屋忠兵衛[ほか2軒]; 文化10(1813)年1月刊.</v>
      </c>
    </row>
    <row r="1187" spans="1:3" ht="11.25">
      <c r="A1187" s="3" t="str">
        <f>"911.3/171/4/MASAOKA"</f>
        <v>911.3/171/4/MASAOKA</v>
      </c>
      <c r="B1187" s="3" t="str">
        <f>"月"</f>
        <v>月</v>
      </c>
      <c r="C1187" s="3" t="str">
        <f>"俳諧新十家発句集 / 俳諧堂来轡,阿里園六轡編 ; 花 - 月.-- 塩屋忠兵衛[ほか2軒]; 文化10(1813)年1月刊."</f>
        <v>俳諧新十家発句集 / 俳諧堂来轡,阿里園六轡編 ; 花 - 月.-- 塩屋忠兵衛[ほか2軒]; 文化10(1813)年1月刊.</v>
      </c>
    </row>
    <row r="1188" spans="1:3" ht="11.25">
      <c r="A1188" s="3" t="str">
        <f>"911.3/172//MASAOKA"</f>
        <v>911.3/172//MASAOKA</v>
      </c>
      <c r="B1188" s="3">
        <f>""</f>
      </c>
      <c r="C1188" s="3" t="str">
        <f>"藻苅舟 / 方円庵社中編.-- [出版者不明]; 文政3年(1820)年5月."</f>
        <v>藻苅舟 / 方円庵社中編.-- [出版者不明]; 文政3年(1820)年5月.</v>
      </c>
    </row>
    <row r="1189" spans="1:3" ht="11.25">
      <c r="A1189" s="3" t="str">
        <f>"911.3/173//MASAOKA"</f>
        <v>911.3/173//MASAOKA</v>
      </c>
      <c r="B1189" s="3" t="str">
        <f>"上・下"</f>
        <v>上・下</v>
      </c>
      <c r="C1189" s="3" t="str">
        <f>"貞徳翁紅梅千句 / [松永貞徳ほか作] ; 上・下.-- 塩屋忠兵衛; [出版年不明]."</f>
        <v>貞徳翁紅梅千句 / [松永貞徳ほか作] ; 上・下.-- 塩屋忠兵衛; [出版年不明].</v>
      </c>
    </row>
    <row r="1190" spans="1:3" ht="11.25">
      <c r="A1190" s="3" t="str">
        <f>"911.3/174//MASAOKA"</f>
        <v>911.3/174//MASAOKA</v>
      </c>
      <c r="B1190" s="3">
        <f>""</f>
      </c>
      <c r="C1190" s="3" t="str">
        <f>"新虚栗集 / 樗庵麥水.-- [出版者不明]; 安永5(1776)年9月跋."</f>
        <v>新虚栗集 / 樗庵麥水.-- [出版者不明]; 安永5(1776)年9月跋.</v>
      </c>
    </row>
    <row r="1191" spans="1:3" ht="11.25">
      <c r="A1191" s="3" t="str">
        <f>"911.3/175//MASAOKA"</f>
        <v>911.3/175//MASAOKA</v>
      </c>
      <c r="B1191" s="3">
        <f>""</f>
      </c>
      <c r="C1191" s="3" t="str">
        <f>"長月集 / 素檗著,月潮撰.-- 橘屋治兵衛; [文化13(1816)年1月成立]."</f>
        <v>長月集 / 素檗著,月潮撰.-- 橘屋治兵衛; [文化13(1816)年1月成立].</v>
      </c>
    </row>
    <row r="1192" spans="1:3" ht="11.25">
      <c r="A1192" s="3" t="str">
        <f>"911.3/176//MASAOKA"</f>
        <v>911.3/176//MASAOKA</v>
      </c>
      <c r="B1192" s="3">
        <f>""</f>
      </c>
      <c r="C1192" s="3" t="str">
        <f>"俳諧雑巾 / [田中常規撰].-- [出版者不明]; [延宝9(1681)年刊]."</f>
        <v>俳諧雑巾 / [田中常規撰].-- [出版者不明]; [延宝9(1681)年刊].</v>
      </c>
    </row>
    <row r="1193" spans="1:3" ht="11.25">
      <c r="A1193" s="3" t="str">
        <f>"911.3/177//MASAOKA"</f>
        <v>911.3/177//MASAOKA</v>
      </c>
      <c r="B1193" s="3">
        <f>""</f>
      </c>
      <c r="C1193" s="3" t="str">
        <f>"立甫花見記 / 立圃著 ; 全.-- 西村源六; [出版年不明]."</f>
        <v>立甫花見記 / 立圃著 ; 全.-- 西村源六; [出版年不明].</v>
      </c>
    </row>
    <row r="1194" spans="1:3" ht="11.25">
      <c r="A1194" s="3" t="str">
        <f>"911.3/178//MASAOKA"</f>
        <v>911.3/178//MASAOKA</v>
      </c>
      <c r="B1194" s="3">
        <f>""</f>
      </c>
      <c r="C1194" s="3" t="str">
        <f>"百梅集 / 百梅翁万籟編.-- [出版者不明]; [出版年不明]."</f>
        <v>百梅集 / 百梅翁万籟編.-- [出版者不明]; [出版年不明].</v>
      </c>
    </row>
    <row r="1195" spans="1:3" ht="11.25">
      <c r="A1195" s="3" t="str">
        <f>"911.3/179//MASAOKA"</f>
        <v>911.3/179//MASAOKA</v>
      </c>
      <c r="B1195" s="3">
        <f>""</f>
      </c>
      <c r="C1195" s="3" t="str">
        <f>"去来抄・誹諧埋木・葛松原 / 去来,季吟,支考著 ; 全.-- [出版者不明]; [出版年不明]."</f>
        <v>去来抄・誹諧埋木・葛松原 / 去来,季吟,支考著 ; 全.-- [出版者不明]; [出版年不明].</v>
      </c>
    </row>
    <row r="1196" spans="1:3" ht="11.25">
      <c r="A1196" s="3" t="str">
        <f>"911.3/180//MASAOKA"</f>
        <v>911.3/180//MASAOKA</v>
      </c>
      <c r="B1196" s="3">
        <f>""</f>
      </c>
      <c r="C1196" s="3" t="str">
        <f>"梅玖良部 / [春哉著].-- 菊舎太兵衛; 文化9(1812)年春."</f>
        <v>梅玖良部 / [春哉著].-- 菊舎太兵衛; 文化9(1812)年春.</v>
      </c>
    </row>
    <row r="1197" spans="1:3" ht="11.25">
      <c r="A1197" s="3" t="str">
        <f>"911.3/181//MASAOKA"</f>
        <v>911.3/181//MASAOKA</v>
      </c>
      <c r="B1197" s="3">
        <f>""</f>
      </c>
      <c r="C1197" s="3" t="str">
        <f>"文車 / [加舎白雄撰].-- 橘屋治兵衛; [明和9(1772)年2月成立]."</f>
        <v>文車 / [加舎白雄撰].-- 橘屋治兵衛; [明和9(1772)年2月成立].</v>
      </c>
    </row>
    <row r="1198" spans="1:3" ht="11.25">
      <c r="A1198" s="3" t="str">
        <f>"911.3/182//MASAOKA"</f>
        <v>911.3/182//MASAOKA</v>
      </c>
      <c r="B1198" s="3">
        <f>""</f>
      </c>
      <c r="C1198" s="3" t="str">
        <f>"椿花文集 / 椿花亭定雅著,栖鳳[編].-- 吉野屋勘兵衛[ほか1軒]; 天明7(1787)年1月刊."</f>
        <v>椿花文集 / 椿花亭定雅著,栖鳳[編].-- 吉野屋勘兵衛[ほか1軒]; 天明7(1787)年1月刊.</v>
      </c>
    </row>
    <row r="1199" spans="1:3" ht="11.25">
      <c r="A1199" s="3" t="str">
        <f>"911.3/183//MASAOKA"</f>
        <v>911.3/183//MASAOKA</v>
      </c>
      <c r="B1199" s="3">
        <f>""</f>
      </c>
      <c r="C1199" s="3" t="str">
        <f>"隙の駒 / 有佐編.-- 万屋清兵衛; 享保20(1735)年冬."</f>
        <v>隙の駒 / 有佐編.-- 万屋清兵衛; 享保20(1735)年冬.</v>
      </c>
    </row>
    <row r="1200" spans="1:3" ht="11.25">
      <c r="A1200" s="3" t="str">
        <f>"911.3/184//MASAOKA"</f>
        <v>911.3/184//MASAOKA</v>
      </c>
      <c r="B1200" s="3">
        <f>""</f>
      </c>
      <c r="C1200" s="3" t="str">
        <f>"俳諧年表 / 牧野望東,星野麥人著.-- 博文館; 明治34(1901)年10月."</f>
        <v>俳諧年表 / 牧野望東,星野麥人著.-- 博文館; 明治34(1901)年10月.</v>
      </c>
    </row>
    <row r="1201" spans="1:3" ht="11.25">
      <c r="A1201" s="3" t="str">
        <f>"911.3/185//MASAOKA"</f>
        <v>911.3/185//MASAOKA</v>
      </c>
      <c r="B1201" s="3" t="str">
        <f>"4"</f>
        <v>4</v>
      </c>
      <c r="C1201" s="3" t="str">
        <f>"鶴芝 / [久保島若人編] ; 4.-- [出版者不明]; 享和1(1801)年."</f>
        <v>鶴芝 / [久保島若人編] ; 4.-- [出版者不明]; 享和1(1801)年.</v>
      </c>
    </row>
    <row r="1202" spans="1:3" ht="11.25">
      <c r="A1202" s="3" t="str">
        <f>"911.3/186//MASAOKA"</f>
        <v>911.3/186//MASAOKA</v>
      </c>
      <c r="B1202" s="3">
        <f>""</f>
      </c>
      <c r="C1202" s="3" t="str">
        <f>"芭蕉庵再興集 / [雪中庵蓼太編] ; 初編.-- 西村源六[ほか1軒]; 安永3(1774)年1月."</f>
        <v>芭蕉庵再興集 / [雪中庵蓼太編] ; 初編.-- 西村源六[ほか1軒]; 安永3(1774)年1月.</v>
      </c>
    </row>
    <row r="1203" spans="1:3" ht="11.25">
      <c r="A1203" s="3" t="str">
        <f>"911.3/187//MASAOKA"</f>
        <v>911.3/187//MASAOKA</v>
      </c>
      <c r="B1203" s="3">
        <f>""</f>
      </c>
      <c r="C1203" s="3" t="str">
        <f>"なにふくろ / 今日庵一峨編.-- 伊勢屋彦兵衛[ほか2軒]; 文化9(1812)年7月."</f>
        <v>なにふくろ / 今日庵一峨編.-- 伊勢屋彦兵衛[ほか2軒]; 文化9(1812)年7月.</v>
      </c>
    </row>
    <row r="1204" spans="1:3" ht="11.25">
      <c r="A1204" s="3" t="str">
        <f>"911.3/188/2/MASAOKA"</f>
        <v>911.3/188/2/MASAOKA</v>
      </c>
      <c r="B1204" s="3" t="str">
        <f>"巻之中"</f>
        <v>巻之中</v>
      </c>
      <c r="C1204" s="3" t="str">
        <f>"綾錦 / 菊岡[セン]涼編 ; 巻之中, 巻之下.-- 西村源六; 享保17(1732)年夏."</f>
        <v>綾錦 / 菊岡[セン]涼編 ; 巻之中, 巻之下.-- 西村源六; 享保17(1732)年夏.</v>
      </c>
    </row>
    <row r="1205" spans="1:3" ht="11.25">
      <c r="A1205" s="3" t="str">
        <f>"911.3/188/3/MASAOKA"</f>
        <v>911.3/188/3/MASAOKA</v>
      </c>
      <c r="B1205" s="3" t="str">
        <f>"巻之下"</f>
        <v>巻之下</v>
      </c>
      <c r="C1205" s="3" t="str">
        <f>"綾錦 / 菊岡[セン]涼編 ; 巻之中, 巻之下.-- 西村源六; 享保17(1732)年夏."</f>
        <v>綾錦 / 菊岡[セン]涼編 ; 巻之中, 巻之下.-- 西村源六; 享保17(1732)年夏.</v>
      </c>
    </row>
    <row r="1206" spans="1:3" ht="11.25">
      <c r="A1206" s="3" t="str">
        <f>"911.3/189//MASAOKA"</f>
        <v>911.3/189//MASAOKA</v>
      </c>
      <c r="B1206" s="3">
        <f>""</f>
      </c>
      <c r="C1206" s="3" t="str">
        <f>"百三十番発句合 / 暗艸館柯林[ほか]著.-- [出版者不明]; 宝暦4(1754)年8月."</f>
        <v>百三十番発句合 / 暗艸館柯林[ほか]著.-- [出版者不明]; 宝暦4(1754)年8月.</v>
      </c>
    </row>
    <row r="1207" spans="1:3" ht="11.25">
      <c r="A1207" s="3" t="str">
        <f>"911.3/190//MASAOKA"</f>
        <v>911.3/190//MASAOKA</v>
      </c>
      <c r="B1207" s="3">
        <f>""</f>
      </c>
      <c r="C1207" s="3" t="str">
        <f>"蕪村翁判几菫月居十番左右句合 / 小川多左衛門編.-- 小川多左衛門; 明治31(1898)年5月."</f>
        <v>蕪村翁判几菫月居十番左右句合 / 小川多左衛門編.-- 小川多左衛門; 明治31(1898)年5月.</v>
      </c>
    </row>
    <row r="1208" spans="1:3" ht="11.25">
      <c r="A1208" s="3" t="str">
        <f>"911.3/191//MASAOKA"</f>
        <v>911.3/191//MASAOKA</v>
      </c>
      <c r="B1208" s="3">
        <f>""</f>
      </c>
      <c r="C1208" s="3" t="str">
        <f>"蕪村発句解 / 松窓乙二説,梅窓布席筆受.-- [出版者不明]; 天保4(1833)年9月跋."</f>
        <v>蕪村発句解 / 松窓乙二説,梅窓布席筆受.-- [出版者不明]; 天保4(1833)年9月跋.</v>
      </c>
    </row>
    <row r="1209" spans="1:3" ht="11.25">
      <c r="A1209" s="3" t="str">
        <f>"911.3/192//MASAOKA"</f>
        <v>911.3/192//MASAOKA</v>
      </c>
      <c r="B1209" s="3">
        <f>""</f>
      </c>
      <c r="C1209" s="3" t="str">
        <f>"金台録享保板 / 来川編 ; 下.-- 小川彦九郎; 享保19(1734)年1月."</f>
        <v>金台録享保板 / 来川編 ; 下.-- 小川彦九郎; 享保19(1734)年1月.</v>
      </c>
    </row>
    <row r="1210" spans="1:3" ht="11.25">
      <c r="A1210" s="3" t="str">
        <f>"911.3/193//MASAOKA"</f>
        <v>911.3/193//MASAOKA</v>
      </c>
      <c r="B1210" s="3">
        <f>""</f>
      </c>
      <c r="C1210" s="3" t="str">
        <f>"蕉門一夜口授 / 樗庵麥水著.-- 河内屋茂兵衛; 安永2(1773)年9月刊."</f>
        <v>蕉門一夜口授 / 樗庵麥水著.-- 河内屋茂兵衛; 安永2(1773)年9月刊.</v>
      </c>
    </row>
    <row r="1211" spans="1:3" ht="11.25">
      <c r="A1211" s="3" t="str">
        <f>"911.3/194//MASAOKA"</f>
        <v>911.3/194//MASAOKA</v>
      </c>
      <c r="B1211" s="3">
        <f>""</f>
      </c>
      <c r="C1211" s="3" t="str">
        <f>"芭蕉堂歌仙図 / [蝶夢編] ; 全.-- [出版者不明]; [明和7(1770)年]."</f>
        <v>芭蕉堂歌仙図 / [蝶夢編] ; 全.-- [出版者不明]; [明和7(1770)年].</v>
      </c>
    </row>
    <row r="1212" spans="1:3" ht="11.25">
      <c r="A1212" s="3" t="str">
        <f>"911.3/195//MASAOKA"</f>
        <v>911.3/195//MASAOKA</v>
      </c>
      <c r="B1212" s="3">
        <f>""</f>
      </c>
      <c r="C1212" s="3" t="str">
        <f>"三草紙 / [服部土芳著] ; 黒草紙.-- 菊舎太兵衛[ほか3軒]; 享和1(1801)年春再刻."</f>
        <v>三草紙 / [服部土芳著] ; 黒草紙.-- 菊舎太兵衛[ほか3軒]; 享和1(1801)年春再刻.</v>
      </c>
    </row>
    <row r="1213" spans="1:3" ht="11.25">
      <c r="A1213" s="3" t="str">
        <f>"911.3/196//MASAOKA"</f>
        <v>911.3/196//MASAOKA</v>
      </c>
      <c r="B1213" s="3">
        <f>""</f>
      </c>
      <c r="C1213" s="3" t="str">
        <f>"三草紙 / [服部土芳著] ; 黒草紙.-- 西村市郎右衛門[ほか5軒]; [安永5(1776)年]."</f>
        <v>三草紙 / [服部土芳著] ; 黒草紙.-- 西村市郎右衛門[ほか5軒]; [安永5(1776)年].</v>
      </c>
    </row>
    <row r="1214" spans="1:3" ht="11.25">
      <c r="A1214" s="3" t="str">
        <f>"911.3/197//MASAOKA"</f>
        <v>911.3/197//MASAOKA</v>
      </c>
      <c r="B1214" s="3">
        <f>""</f>
      </c>
      <c r="C1214" s="3" t="str">
        <f>"児の筆 / [著者不明].-- [出版者不明]; [元禄9(1696)年3月成立]."</f>
        <v>児の筆 / [著者不明].-- [出版者不明]; [元禄9(1696)年3月成立].</v>
      </c>
    </row>
    <row r="1215" spans="1:3" ht="11.25">
      <c r="A1215" s="3" t="str">
        <f>"911.3/198//MASAOKA"</f>
        <v>911.3/198//MASAOKA</v>
      </c>
      <c r="B1215" s="3">
        <f>""</f>
      </c>
      <c r="C1215" s="3" t="str">
        <f>"鬼貫集.[ひとりこと] / 鬼貫.-- [出版者不明]; [出版年不明]."</f>
        <v>鬼貫集.[ひとりこと] / 鬼貫.-- [出版者不明]; [出版年不明].</v>
      </c>
    </row>
    <row r="1216" spans="1:3" ht="11.25">
      <c r="A1216" s="3" t="str">
        <f>"911.3/199//MASAOKA"</f>
        <v>911.3/199//MASAOKA</v>
      </c>
      <c r="B1216" s="3">
        <f>""</f>
      </c>
      <c r="C1216" s="3" t="str">
        <f>"父の恩 / [市川三升編].-- [出版者不明]; 享保15(1730)年2月."</f>
        <v>父の恩 / [市川三升編].-- [出版者不明]; 享保15(1730)年2月.</v>
      </c>
    </row>
    <row r="1217" spans="1:3" ht="11.25">
      <c r="A1217" s="3" t="str">
        <f>"911.3/200//MASAOKA"</f>
        <v>911.3/200//MASAOKA</v>
      </c>
      <c r="B1217" s="3">
        <f>""</f>
      </c>
      <c r="C1217" s="3" t="str">
        <f>"俳諧黒白集[ほか] / 佐保介我撰.-- [出版者不明]; [天保12(1841)年10月成立]."</f>
        <v>俳諧黒白集[ほか] / 佐保介我撰.-- [出版者不明]; [天保12(1841)年10月成立].</v>
      </c>
    </row>
    <row r="1218" spans="1:3" ht="11.25">
      <c r="A1218" s="3" t="str">
        <f>"911.3/201//MASAOKA"</f>
        <v>911.3/201//MASAOKA</v>
      </c>
      <c r="B1218" s="3">
        <f>""</f>
      </c>
      <c r="C1218" s="3" t="str">
        <f>"三崎誌.名勝誌 / 市明編 ; 完.-- 一湖堂; 宝暦6(1756)年春."</f>
        <v>三崎誌.名勝誌 / 市明編 ; 完.-- 一湖堂; 宝暦6(1756)年春.</v>
      </c>
    </row>
    <row r="1219" spans="1:3" ht="11.25">
      <c r="A1219" s="3" t="str">
        <f>"911.3/202//MASAOKA"</f>
        <v>911.3/202//MASAOKA</v>
      </c>
      <c r="B1219" s="3">
        <f>""</f>
      </c>
      <c r="C1219" s="3" t="str">
        <f>"去来伊勢紀行.丈草寝転草 / 去来,丈草著.-- 柿寿窓; 嘉永3(1856)年3月."</f>
        <v>去来伊勢紀行.丈草寝転草 / 去来,丈草著.-- 柿寿窓; 嘉永3(1856)年3月.</v>
      </c>
    </row>
    <row r="1220" spans="1:3" ht="11.25">
      <c r="A1220" s="3" t="str">
        <f>"911.3/203//MASAOKA"</f>
        <v>911.3/203//MASAOKA</v>
      </c>
      <c r="B1220" s="3">
        <f>""</f>
      </c>
      <c r="C1220" s="3" t="str">
        <f>"住吉千句 / 雪中庵蓼太編.-- [出版者不明]; [出版年不明]."</f>
        <v>住吉千句 / 雪中庵蓼太編.-- [出版者不明]; [出版年不明].</v>
      </c>
    </row>
    <row r="1221" spans="1:3" ht="11.25">
      <c r="A1221" s="3" t="str">
        <f>"911.3/204//MASAOKA"</f>
        <v>911.3/204//MASAOKA</v>
      </c>
      <c r="B1221" s="3">
        <f>""</f>
      </c>
      <c r="C1221" s="3" t="str">
        <f>"俳諧二ツ笠 / 除風[ほか]編 ; 全.-- 石原茂兵衛; 安永4(1775)年冬."</f>
        <v>俳諧二ツ笠 / 除風[ほか]編 ; 全.-- 石原茂兵衛; 安永4(1775)年冬.</v>
      </c>
    </row>
    <row r="1222" spans="1:3" ht="11.25">
      <c r="A1222" s="3" t="str">
        <f>"911.3/205//MASAOKA"</f>
        <v>911.3/205//MASAOKA</v>
      </c>
      <c r="B1222" s="3">
        <f>""</f>
      </c>
      <c r="C1222" s="3" t="str">
        <f>"発句集 [セン]山社中歳旦帳 / 法眼[セン]山撰 ; 全.-- [出版者不明]; 嘉永4(1851)年."</f>
        <v>発句集 [セン]山社中歳旦帳 / 法眼[セン]山撰 ; 全.-- [出版者不明]; 嘉永4(1851)年.</v>
      </c>
    </row>
    <row r="1223" spans="1:3" ht="11.25">
      <c r="A1223" s="3" t="str">
        <f>"911.3/206//MASAOKA"</f>
        <v>911.3/206//MASAOKA</v>
      </c>
      <c r="B1223" s="3">
        <f>""</f>
      </c>
      <c r="C1223" s="3" t="str">
        <f>"紀逸黄昏日記 / 十明庵紀逸著 ; 完.-- 万屋彌市郎[ほか1軒]; 宝暦10(1760)年11月."</f>
        <v>紀逸黄昏日記 / 十明庵紀逸著 ; 完.-- 万屋彌市郎[ほか1軒]; 宝暦10(1760)年11月.</v>
      </c>
    </row>
    <row r="1224" spans="1:3" ht="11.25">
      <c r="A1224" s="3" t="str">
        <f>"911.3/207//MASAOKA"</f>
        <v>911.3/207//MASAOKA</v>
      </c>
      <c r="B1224" s="3">
        <f>""</f>
      </c>
      <c r="C1224" s="3" t="str">
        <f>"誹諧花笠 / [著者不明].-- [出版者不明]; 寛保3(1743)年春."</f>
        <v>誹諧花笠 / [著者不明].-- [出版者不明]; 寛保3(1743)年春.</v>
      </c>
    </row>
    <row r="1225" spans="1:3" ht="11.25">
      <c r="A1225" s="3" t="str">
        <f>"911.3/208//MASAOKA"</f>
        <v>911.3/208//MASAOKA</v>
      </c>
      <c r="B1225" s="3">
        <f>""</f>
      </c>
      <c r="C1225" s="3" t="str">
        <f>"芭蕉談 / [文暁編] ; 全.-- [出版者不明]; [出版年不明]."</f>
        <v>芭蕉談 / [文暁編] ; 全.-- [出版者不明]; [出版年不明].</v>
      </c>
    </row>
    <row r="1226" spans="1:3" ht="11.25">
      <c r="A1226" s="3" t="str">
        <f>"911.3/209//MASAOKA"</f>
        <v>911.3/209//MASAOKA</v>
      </c>
      <c r="B1226" s="3">
        <f>""</f>
      </c>
      <c r="C1226" s="3" t="str">
        <f>"俳諧いなは山.蕉門廿五ヶ絛 / 童平伝,芭蕉著.-- [出版者不明]; [出版年不明]."</f>
        <v>俳諧いなは山.蕉門廿五ヶ絛 / 童平伝,芭蕉著.-- [出版者不明]; [出版年不明].</v>
      </c>
    </row>
    <row r="1227" spans="1:3" ht="11.25">
      <c r="A1227" s="3" t="str">
        <f>"911.3/210//MASAOKA"</f>
        <v>911.3/210//MASAOKA</v>
      </c>
      <c r="B1227" s="3">
        <f>""</f>
      </c>
      <c r="C1227" s="3" t="str">
        <f>"俳諧都築の原 / 一柳軒不卜選 ; 全.-- 嵐高柳々[ほか2軒]; 文政2(1819)年9月."</f>
        <v>俳諧都築の原 / 一柳軒不卜選 ; 全.-- 嵐高柳々[ほか2軒]; 文政2(1819)年9月.</v>
      </c>
    </row>
    <row r="1228" spans="1:3" ht="11.25">
      <c r="A1228" s="3" t="str">
        <f>"911.3/211//MASAOKA"</f>
        <v>911.3/211//MASAOKA</v>
      </c>
      <c r="B1228" s="3">
        <f>""</f>
      </c>
      <c r="C1228" s="3" t="str">
        <f>"俳諧大湊 / 高田幸佐編.-- 中村孫兵衛; 元禄4(1691)年8月."</f>
        <v>俳諧大湊 / 高田幸佐編.-- 中村孫兵衛; 元禄4(1691)年8月.</v>
      </c>
    </row>
    <row r="1229" spans="1:3" ht="11.25">
      <c r="A1229" s="3" t="str">
        <f>"911.3/212//MASAOKA"</f>
        <v>911.3/212//MASAOKA</v>
      </c>
      <c r="B1229" s="3">
        <f>""</f>
      </c>
      <c r="C1229" s="3" t="str">
        <f>"玉笈集 / 琵琶園士朗撰.-- 勝田喜右衛門; [享和2(1802)年2月成立]."</f>
        <v>玉笈集 / 琵琶園士朗撰.-- 勝田喜右衛門; [享和2(1802)年2月成立].</v>
      </c>
    </row>
    <row r="1230" spans="1:3" ht="11.25">
      <c r="A1230" s="3" t="str">
        <f>"911.3/213//MASAOKA"</f>
        <v>911.3/213//MASAOKA</v>
      </c>
      <c r="B1230" s="3">
        <f>""</f>
      </c>
      <c r="C1230" s="3" t="str">
        <f>"歳旦集 / 荷旃斎編.-- [出版者不明]; [宝暦9(1759)年1月成立]."</f>
        <v>歳旦集 / 荷旃斎編.-- [出版者不明]; [宝暦9(1759)年1月成立].</v>
      </c>
    </row>
    <row r="1231" spans="1:3" ht="11.25">
      <c r="A1231" s="3" t="str">
        <f>"911.3/214//MASAOKA"</f>
        <v>911.3/214//MASAOKA</v>
      </c>
      <c r="B1231" s="3">
        <f>""</f>
      </c>
      <c r="C1231" s="3" t="str">
        <f>"今はむかし / 現庵門人連編 ; 全.-- 橘屋伝兵衛; 文化7(1810)年."</f>
        <v>今はむかし / 現庵門人連編 ; 全.-- 橘屋伝兵衛; 文化7(1810)年.</v>
      </c>
    </row>
    <row r="1232" spans="1:3" ht="11.25">
      <c r="A1232" s="3" t="str">
        <f>"911.3/215//MASAOKA"</f>
        <v>911.3/215//MASAOKA</v>
      </c>
      <c r="B1232" s="3">
        <f>""</f>
      </c>
      <c r="C1232" s="3" t="str">
        <f>"師走嚢 / [正月堂梅門著] ; 全.-- 吹田屋多四郎; 明和1(1764)年9月自序."</f>
        <v>師走嚢 / [正月堂梅門著] ; 全.-- 吹田屋多四郎; 明和1(1764)年9月自序.</v>
      </c>
    </row>
    <row r="1233" spans="1:3" ht="11.25">
      <c r="A1233" s="3" t="str">
        <f>"911.3/216//MASAOKA"</f>
        <v>911.3/216//MASAOKA</v>
      </c>
      <c r="B1233" s="3">
        <f>""</f>
      </c>
      <c r="C1233" s="3" t="str">
        <f>"ひとりこと / 鬼貫著 ; 上・下.-- [出版者不明]; [享保3(1718)年4月成立]."</f>
        <v>ひとりこと / 鬼貫著 ; 上・下.-- [出版者不明]; [享保3(1718)年4月成立].</v>
      </c>
    </row>
    <row r="1234" spans="1:3" ht="11.25">
      <c r="A1234" s="3" t="str">
        <f>"911.3/217//MASAOKA"</f>
        <v>911.3/217//MASAOKA</v>
      </c>
      <c r="B1234" s="3">
        <f>""</f>
      </c>
      <c r="C1234" s="3" t="str">
        <f>"新編俳諧文集 / [蕪庵蟹守編].-- 野村新兵衛[ほか2軒]; 嘉永6(1853)年11月."</f>
        <v>新編俳諧文集 / [蕪庵蟹守編].-- 野村新兵衛[ほか2軒]; 嘉永6(1853)年11月.</v>
      </c>
    </row>
    <row r="1235" spans="1:3" ht="11.25">
      <c r="A1235" s="3" t="str">
        <f>"911.3/218//MASAOKA"</f>
        <v>911.3/218//MASAOKA</v>
      </c>
      <c r="B1235" s="3">
        <f>""</f>
      </c>
      <c r="C1235" s="3" t="str">
        <f>"諸鈔合註誹諧新式大成 / [白梅園鷺水].-- 柏屋種充[ほか2軒]; [元禄11(1698)年2月成立]."</f>
        <v>諸鈔合註誹諧新式大成 / [白梅園鷺水].-- 柏屋種充[ほか2軒]; [元禄11(1698)年2月成立].</v>
      </c>
    </row>
    <row r="1236" spans="1:3" ht="11.25">
      <c r="A1236" s="3" t="str">
        <f>"911.3/219//MASAOKA"</f>
        <v>911.3/219//MASAOKA</v>
      </c>
      <c r="B1236" s="3">
        <f>""</f>
      </c>
      <c r="C1236" s="3" t="str">
        <f>"文政九年歳旦 / 宜麦編.-- [出版者不明]; 文政9年1月."</f>
        <v>文政九年歳旦 / 宜麦編.-- [出版者不明]; 文政9年1月.</v>
      </c>
    </row>
    <row r="1237" spans="1:3" ht="11.25">
      <c r="A1237" s="3" t="str">
        <f>"911.3/220//MASAOKA"</f>
        <v>911.3/220//MASAOKA</v>
      </c>
      <c r="B1237" s="3">
        <f>""</f>
      </c>
      <c r="C1237" s="3" t="str">
        <f>"俳諧未来記 / [蓼太編] ; 完.-- 戸倉屋喜兵衛; 明和2(1765)年4月序."</f>
        <v>俳諧未来記 / [蓼太編] ; 完.-- 戸倉屋喜兵衛; 明和2(1765)年4月序.</v>
      </c>
    </row>
    <row r="1238" spans="1:3" ht="11.25">
      <c r="A1238" s="3" t="str">
        <f>"911.3/221//MASAOKA"</f>
        <v>911.3/221//MASAOKA</v>
      </c>
      <c r="B1238" s="3" t="str">
        <f>"全"</f>
        <v>全</v>
      </c>
      <c r="C1238" s="3" t="str">
        <f>"俳諧絵入心比東津 / [暁雨窓文母編] ; 全.-- [出版者不明]; [寛政3(1791)年秋成立]."</f>
        <v>俳諧絵入心比東津 / [暁雨窓文母編] ; 全.-- [出版者不明]; [寛政3(1791)年秋成立].</v>
      </c>
    </row>
    <row r="1239" spans="1:3" ht="11.25">
      <c r="A1239" s="3" t="str">
        <f>"911.3/222//MASAOKA"</f>
        <v>911.3/222//MASAOKA</v>
      </c>
      <c r="B1239" s="3">
        <f>""</f>
      </c>
      <c r="C1239" s="3" t="str">
        <f>"魁春帖 / [随斎成美編].-- [出版者不明]; [天明6(1786)年2月成立]."</f>
        <v>魁春帖 / [随斎成美編].-- [出版者不明]; [天明6(1786)年2月成立].</v>
      </c>
    </row>
    <row r="1240" spans="1:3" ht="11.25">
      <c r="A1240" s="3" t="str">
        <f>"911.3/223//MASAOKA"</f>
        <v>911.3/223//MASAOKA</v>
      </c>
      <c r="B1240" s="3">
        <f>""</f>
      </c>
      <c r="C1240" s="3" t="str">
        <f>"霞? / 東杵庵[サイ]柯編 ; 全.-- [出版者不明]; 天保4(1833)年."</f>
        <v>霞? / 東杵庵[サイ]柯編 ; 全.-- [出版者不明]; 天保4(1833)年.</v>
      </c>
    </row>
    <row r="1241" spans="1:3" ht="11.25">
      <c r="A1241" s="3" t="str">
        <f>"911.3/224//MASAOKA"</f>
        <v>911.3/224//MASAOKA</v>
      </c>
      <c r="B1241" s="3">
        <f>""</f>
      </c>
      <c r="C1241" s="3" t="str">
        <f>"歳旦長 / [自在庵祇徳編].-- 荒木又刀彫; 明和2(1765)年."</f>
        <v>歳旦長 / [自在庵祇徳編].-- 荒木又刀彫; 明和2(1765)年.</v>
      </c>
    </row>
    <row r="1242" spans="1:3" ht="11.25">
      <c r="A1242" s="3" t="str">
        <f>"911.3/225//MASAOKA"</f>
        <v>911.3/225//MASAOKA</v>
      </c>
      <c r="B1242" s="3" t="str">
        <f>"91-132号"</f>
        <v>91-132号</v>
      </c>
      <c r="C1242" s="3" t="str">
        <f>"真砂の志らべ / [著者不明] ; 91-132号.-- 明栄社; 明治20-23(1887-1890)年."</f>
        <v>真砂の志らべ / [著者不明] ; 91-132号.-- 明栄社; 明治20-23(1887-1890)年.</v>
      </c>
    </row>
    <row r="1243" spans="1:3" ht="11.25">
      <c r="A1243" s="3" t="str">
        <f>"911.3/226//MASAOKA"</f>
        <v>911.3/226//MASAOKA</v>
      </c>
      <c r="B1243" s="3">
        <f>""</f>
      </c>
      <c r="C1243" s="3" t="str">
        <f>"兵庫船 / 兵庫社中編.-- 菊舎; [享和2(1802)年8月成立]."</f>
        <v>兵庫船 / 兵庫社中編.-- 菊舎; [享和2(1802)年8月成立].</v>
      </c>
    </row>
    <row r="1244" spans="1:3" ht="11.25">
      <c r="A1244" s="3" t="str">
        <f>"911.3/227//MASAOKA"</f>
        <v>911.3/227//MASAOKA</v>
      </c>
      <c r="B1244" s="3">
        <f>""</f>
      </c>
      <c r="C1244" s="3" t="str">
        <f>"諸国翁墳記 / 義仲寺編.-- [出版者不明]; [宝暦11(1761)年序]."</f>
        <v>諸国翁墳記 / 義仲寺編.-- [出版者不明]; [宝暦11(1761)年序].</v>
      </c>
    </row>
    <row r="1245" spans="1:3" ht="11.25">
      <c r="A1245" s="3" t="str">
        <f>"911.3/228//MASAOKA"</f>
        <v>911.3/228//MASAOKA</v>
      </c>
      <c r="B1245" s="3">
        <f>""</f>
      </c>
      <c r="C1245" s="3" t="str">
        <f>"圭虫句集 / 正岡子規編.-- [出版者不明]; 明治29(1896)年6月自序."</f>
        <v>圭虫句集 / 正岡子規編.-- [出版者不明]; 明治29(1896)年6月自序.</v>
      </c>
    </row>
    <row r="1246" spans="1:3" ht="11.25">
      <c r="A1246" s="3" t="str">
        <f>"911.3/229/1/MASAOKA"</f>
        <v>911.3/229/1/MASAOKA</v>
      </c>
      <c r="B1246" s="3" t="str">
        <f>"上"</f>
        <v>上</v>
      </c>
      <c r="C1246" s="3" t="str">
        <f>"俳諧類柑子 / 其角著 ; 上・下, 上, 下.-- 吉文字屋次郎兵衛; [宝永4(1707)年冬成立]."</f>
        <v>俳諧類柑子 / 其角著 ; 上・下, 上, 下.-- 吉文字屋次郎兵衛; [宝永4(1707)年冬成立].</v>
      </c>
    </row>
    <row r="1247" spans="1:3" ht="11.25">
      <c r="A1247" s="3" t="str">
        <f>"911.3/229/2/MASAOKA"</f>
        <v>911.3/229/2/MASAOKA</v>
      </c>
      <c r="B1247" s="3" t="str">
        <f>"下"</f>
        <v>下</v>
      </c>
      <c r="C1247" s="3" t="str">
        <f>"俳諧類柑子 / 其角著 ; 上・下, 上, 下.-- 吉文字屋次郎兵衛; [宝永4(1707)年冬成立]."</f>
        <v>俳諧類柑子 / 其角著 ; 上・下, 上, 下.-- 吉文字屋次郎兵衛; [宝永4(1707)年冬成立].</v>
      </c>
    </row>
    <row r="1248" spans="1:3" ht="11.25">
      <c r="A1248" s="3" t="str">
        <f>"911.3/230/1a/MASAOKA"</f>
        <v>911.3/230/1a/MASAOKA</v>
      </c>
      <c r="B1248" s="3" t="str">
        <f>"巻1上"</f>
        <v>巻1上</v>
      </c>
      <c r="C1248" s="3" t="str">
        <f>"風俗文選犬註解 / 葎甘介我著 ; 巻1上 - 巻2下.-- 葎甘; [嘉永1(1848)年]."</f>
        <v>風俗文選犬註解 / 葎甘介我著 ; 巻1上 - 巻2下.-- 葎甘; [嘉永1(1848)年].</v>
      </c>
    </row>
    <row r="1249" spans="1:3" ht="11.25">
      <c r="A1249" s="3" t="str">
        <f>"911.3/230/1b/MASAOKA"</f>
        <v>911.3/230/1b/MASAOKA</v>
      </c>
      <c r="B1249" s="3" t="str">
        <f>"巻1下"</f>
        <v>巻1下</v>
      </c>
      <c r="C1249" s="3" t="str">
        <f>"風俗文選犬註解 / 葎甘介我著 ; 巻1上 - 巻2下.-- 葎甘; [嘉永1(1848)年]."</f>
        <v>風俗文選犬註解 / 葎甘介我著 ; 巻1上 - 巻2下.-- 葎甘; [嘉永1(1848)年].</v>
      </c>
    </row>
    <row r="1250" spans="1:3" ht="11.25">
      <c r="A1250" s="3" t="str">
        <f>"911.3/230/2a/MASAOKA"</f>
        <v>911.3/230/2a/MASAOKA</v>
      </c>
      <c r="B1250" s="3" t="str">
        <f>"巻2上"</f>
        <v>巻2上</v>
      </c>
      <c r="C1250" s="3" t="str">
        <f>"風俗文選犬註解 / 葎甘介我著 ; 巻1上 - 巻2下.-- 葎甘; [嘉永1(1848)年]."</f>
        <v>風俗文選犬註解 / 葎甘介我著 ; 巻1上 - 巻2下.-- 葎甘; [嘉永1(1848)年].</v>
      </c>
    </row>
    <row r="1251" spans="1:3" ht="11.25">
      <c r="A1251" s="3" t="str">
        <f>"911.3/230/2b/MASAOKA"</f>
        <v>911.3/230/2b/MASAOKA</v>
      </c>
      <c r="B1251" s="3" t="str">
        <f>"巻2下"</f>
        <v>巻2下</v>
      </c>
      <c r="C1251" s="3" t="str">
        <f>"風俗文選犬註解 / 葎甘介我著 ; 巻1上 - 巻2下.-- 葎甘; [嘉永1(1848)年]."</f>
        <v>風俗文選犬註解 / 葎甘介我著 ; 巻1上 - 巻2下.-- 葎甘; [嘉永1(1848)年].</v>
      </c>
    </row>
    <row r="1252" spans="1:3" ht="11.25">
      <c r="A1252" s="3" t="str">
        <f>"911.3/231/1/MASAOKA"</f>
        <v>911.3/231/1/MASAOKA</v>
      </c>
      <c r="B1252" s="3" t="str">
        <f>"1"</f>
        <v>1</v>
      </c>
      <c r="C1252" s="3" t="str">
        <f>"歌俳百人撰 / 海寿翁編 ; 1-4 - 4.-- [出版者不明]; [出版年不明]."</f>
        <v>歌俳百人撰 / 海寿翁編 ; 1-4 - 4.-- [出版者不明]; [出版年不明].</v>
      </c>
    </row>
    <row r="1253" spans="1:3" ht="11.25">
      <c r="A1253" s="3" t="str">
        <f>"911.3/231/2/MASAOKA"</f>
        <v>911.3/231/2/MASAOKA</v>
      </c>
      <c r="B1253" s="3" t="str">
        <f>"2"</f>
        <v>2</v>
      </c>
      <c r="C1253" s="3" t="str">
        <f>"歌俳百人撰 / 海寿翁編 ; 1-4 - 4.-- [出版者不明]; [出版年不明]."</f>
        <v>歌俳百人撰 / 海寿翁編 ; 1-4 - 4.-- [出版者不明]; [出版年不明].</v>
      </c>
    </row>
    <row r="1254" spans="1:3" ht="11.25">
      <c r="A1254" s="3" t="str">
        <f>"911.3/231/3/MASAOKA"</f>
        <v>911.3/231/3/MASAOKA</v>
      </c>
      <c r="B1254" s="3" t="str">
        <f>"3"</f>
        <v>3</v>
      </c>
      <c r="C1254" s="3" t="str">
        <f>"歌俳百人撰 / 海寿翁編 ; 1-4 - 4.-- [出版者不明]; [出版年不明]."</f>
        <v>歌俳百人撰 / 海寿翁編 ; 1-4 - 4.-- [出版者不明]; [出版年不明].</v>
      </c>
    </row>
    <row r="1255" spans="1:3" ht="11.25">
      <c r="A1255" s="3" t="str">
        <f>"911.3/231/4/MASAOKA"</f>
        <v>911.3/231/4/MASAOKA</v>
      </c>
      <c r="B1255" s="3" t="str">
        <f>"4"</f>
        <v>4</v>
      </c>
      <c r="C1255" s="3" t="str">
        <f>"歌俳百人撰 / 海寿翁編 ; 1-4 - 4.-- [出版者不明]; [出版年不明]."</f>
        <v>歌俳百人撰 / 海寿翁編 ; 1-4 - 4.-- [出版者不明]; [出版年不明].</v>
      </c>
    </row>
    <row r="1256" spans="1:3" ht="11.25">
      <c r="A1256" s="3" t="str">
        <f>"911.3/232/1/MASAOKA"</f>
        <v>911.3/232/1/MASAOKA</v>
      </c>
      <c r="B1256" s="3" t="str">
        <f>"巻之上(乾)"</f>
        <v>巻之上(乾)</v>
      </c>
      <c r="C1256" s="3" t="str">
        <f>"秋風庵文集 / 秋風庵月化著 ; 巻之上(乾), 巻之下(坤).-- [出版者不明]; 天保4(1833)跋."</f>
        <v>秋風庵文集 / 秋風庵月化著 ; 巻之上(乾), 巻之下(坤).-- [出版者不明]; 天保4(1833)跋.</v>
      </c>
    </row>
    <row r="1257" spans="1:3" ht="11.25">
      <c r="A1257" s="3" t="str">
        <f>"911.3/232/2/MASAOKA"</f>
        <v>911.3/232/2/MASAOKA</v>
      </c>
      <c r="B1257" s="3" t="str">
        <f>"巻之下(坤)"</f>
        <v>巻之下(坤)</v>
      </c>
      <c r="C1257" s="3" t="str">
        <f>"秋風庵文集 / 秋風庵月化著 ; 巻之上(乾), 巻之下(坤).-- [出版者不明]; 天保4(1833)跋."</f>
        <v>秋風庵文集 / 秋風庵月化著 ; 巻之上(乾), 巻之下(坤).-- [出版者不明]; 天保4(1833)跋.</v>
      </c>
    </row>
    <row r="1258" spans="1:3" ht="11.25">
      <c r="A1258" s="3" t="str">
        <f>"911.3/233/1/MASAOKA"</f>
        <v>911.3/233/1/MASAOKA</v>
      </c>
      <c r="B1258" s="3" t="str">
        <f>"巻之1"</f>
        <v>巻之1</v>
      </c>
      <c r="C1258" s="3" t="str">
        <f aca="true" t="shared" si="28" ref="C1258:C1265">"風俗文選 / 五老井許六編 ; 巻之1 - 巻之9.-- [井筒屋]; [宝永4(1707)年刊]."</f>
        <v>風俗文選 / 五老井許六編 ; 巻之1 - 巻之9.-- [井筒屋]; [宝永4(1707)年刊].</v>
      </c>
    </row>
    <row r="1259" spans="1:3" ht="11.25">
      <c r="A1259" s="3" t="str">
        <f>"911.3/233/2/MASAOKA"</f>
        <v>911.3/233/2/MASAOKA</v>
      </c>
      <c r="B1259" s="3" t="str">
        <f>"巻之2"</f>
        <v>巻之2</v>
      </c>
      <c r="C1259" s="3" t="str">
        <f t="shared" si="28"/>
        <v>風俗文選 / 五老井許六編 ; 巻之1 - 巻之9.-- [井筒屋]; [宝永4(1707)年刊].</v>
      </c>
    </row>
    <row r="1260" spans="1:3" ht="11.25">
      <c r="A1260" s="3" t="str">
        <f>"911.3/233/3/MASAOKA"</f>
        <v>911.3/233/3/MASAOKA</v>
      </c>
      <c r="B1260" s="3" t="str">
        <f>"巻之3"</f>
        <v>巻之3</v>
      </c>
      <c r="C1260" s="3" t="str">
        <f t="shared" si="28"/>
        <v>風俗文選 / 五老井許六編 ; 巻之1 - 巻之9.-- [井筒屋]; [宝永4(1707)年刊].</v>
      </c>
    </row>
    <row r="1261" spans="1:3" ht="11.25">
      <c r="A1261" s="3" t="str">
        <f>"911.3/233/4/MASAOKA"</f>
        <v>911.3/233/4/MASAOKA</v>
      </c>
      <c r="B1261" s="3" t="str">
        <f>"巻之4"</f>
        <v>巻之4</v>
      </c>
      <c r="C1261" s="3" t="str">
        <f t="shared" si="28"/>
        <v>風俗文選 / 五老井許六編 ; 巻之1 - 巻之9.-- [井筒屋]; [宝永4(1707)年刊].</v>
      </c>
    </row>
    <row r="1262" spans="1:3" ht="11.25">
      <c r="A1262" s="3" t="str">
        <f>"911.3/233/5/MASAOKA"</f>
        <v>911.3/233/5/MASAOKA</v>
      </c>
      <c r="B1262" s="3" t="str">
        <f>"巻之5"</f>
        <v>巻之5</v>
      </c>
      <c r="C1262" s="3" t="str">
        <f t="shared" si="28"/>
        <v>風俗文選 / 五老井許六編 ; 巻之1 - 巻之9.-- [井筒屋]; [宝永4(1707)年刊].</v>
      </c>
    </row>
    <row r="1263" spans="1:3" ht="11.25">
      <c r="A1263" s="3" t="str">
        <f>"911.3/233/6/MASAOKA"</f>
        <v>911.3/233/6/MASAOKA</v>
      </c>
      <c r="B1263" s="3" t="str">
        <f>"巻之6"</f>
        <v>巻之6</v>
      </c>
      <c r="C1263" s="3" t="str">
        <f t="shared" si="28"/>
        <v>風俗文選 / 五老井許六編 ; 巻之1 - 巻之9.-- [井筒屋]; [宝永4(1707)年刊].</v>
      </c>
    </row>
    <row r="1264" spans="1:3" ht="11.25">
      <c r="A1264" s="3" t="str">
        <f>"911.3/233/7-8/MASAOKA"</f>
        <v>911.3/233/7-8/MASAOKA</v>
      </c>
      <c r="B1264" s="3" t="str">
        <f>"巻之7-8"</f>
        <v>巻之7-8</v>
      </c>
      <c r="C1264" s="3" t="str">
        <f t="shared" si="28"/>
        <v>風俗文選 / 五老井許六編 ; 巻之1 - 巻之9.-- [井筒屋]; [宝永4(1707)年刊].</v>
      </c>
    </row>
    <row r="1265" spans="1:3" ht="11.25">
      <c r="A1265" s="3" t="str">
        <f>"911.3/233/9/MASAOKA"</f>
        <v>911.3/233/9/MASAOKA</v>
      </c>
      <c r="B1265" s="3" t="str">
        <f>"巻之9"</f>
        <v>巻之9</v>
      </c>
      <c r="C1265" s="3" t="str">
        <f t="shared" si="28"/>
        <v>風俗文選 / 五老井許六編 ; 巻之1 - 巻之9.-- [井筒屋]; [宝永4(1707)年刊].</v>
      </c>
    </row>
    <row r="1266" spans="1:3" ht="11.25">
      <c r="A1266" s="3" t="str">
        <f>"911.3/234//MASAOKA"</f>
        <v>911.3/234//MASAOKA</v>
      </c>
      <c r="B1266" s="3">
        <f>""</f>
      </c>
      <c r="C1266" s="3" t="str">
        <f>"俳諧一茶百話 / 不舎観其水 ; 全.-- [出版者不明]; [天明7(1787)年5月成立]."</f>
        <v>俳諧一茶百話 / 不舎観其水 ; 全.-- [出版者不明]; [天明7(1787)年5月成立].</v>
      </c>
    </row>
    <row r="1267" spans="1:3" ht="11.25">
      <c r="A1267" s="3" t="str">
        <f>"911.3/235//MASAOKA"</f>
        <v>911.3/235//MASAOKA</v>
      </c>
      <c r="B1267" s="3">
        <f>""</f>
      </c>
      <c r="C1267" s="3" t="str">
        <f>"蕪村三十六歌仙 / 蕪村[編] ; 全.-- 花屋久治郎[ほか1軒]; 文政11(1828)年秋."</f>
        <v>蕪村三十六歌仙 / 蕪村[編] ; 全.-- 花屋久治郎[ほか1軒]; 文政11(1828)年秋.</v>
      </c>
    </row>
    <row r="1268" spans="1:3" ht="11.25">
      <c r="A1268" s="3" t="str">
        <f>"911.3/236/1/MASAOKA"</f>
        <v>911.3/236/1/MASAOKA</v>
      </c>
      <c r="B1268" s="3" t="str">
        <f>"巻之1-3(天)"</f>
        <v>巻之1-3(天)</v>
      </c>
      <c r="C1268" s="3" t="str">
        <f>"和漢文操 / 蓮二房支考編 ; 巻之1-3(天) - 別録.-- 橘屋治兵衛; 享保12(1727)年9月刊."</f>
        <v>和漢文操 / 蓮二房支考編 ; 巻之1-3(天) - 別録.-- 橘屋治兵衛; 享保12(1727)年9月刊.</v>
      </c>
    </row>
    <row r="1269" spans="1:3" ht="11.25">
      <c r="A1269" s="3" t="str">
        <f>"911.3/236/2/MASAOKA"</f>
        <v>911.3/236/2/MASAOKA</v>
      </c>
      <c r="B1269" s="3" t="str">
        <f>"巻之4-6(地)"</f>
        <v>巻之4-6(地)</v>
      </c>
      <c r="C1269" s="3" t="str">
        <f>"和漢文操 / 蓮二房支考編 ; 巻之1-3(天) - 別録.-- 橘屋治兵衛; 享保12(1727)年9月刊."</f>
        <v>和漢文操 / 蓮二房支考編 ; 巻之1-3(天) - 別録.-- 橘屋治兵衛; 享保12(1727)年9月刊.</v>
      </c>
    </row>
    <row r="1270" spans="1:3" ht="11.25">
      <c r="A1270" s="3" t="str">
        <f>"911.3/236/3/MASAOKA"</f>
        <v>911.3/236/3/MASAOKA</v>
      </c>
      <c r="B1270" s="3" t="str">
        <f>"巻之7(人)"</f>
        <v>巻之7(人)</v>
      </c>
      <c r="C1270" s="3" t="str">
        <f>"和漢文操 / 蓮二房支考編 ; 巻之1-3(天) - 別録.-- 橘屋治兵衛; 享保12(1727)年9月刊."</f>
        <v>和漢文操 / 蓮二房支考編 ; 巻之1-3(天) - 別録.-- 橘屋治兵衛; 享保12(1727)年9月刊.</v>
      </c>
    </row>
    <row r="1271" spans="1:3" ht="11.25">
      <c r="A1271" s="3" t="str">
        <f>"911.3/236/b/MASAOKA"</f>
        <v>911.3/236/b/MASAOKA</v>
      </c>
      <c r="B1271" s="3" t="str">
        <f>"別録"</f>
        <v>別録</v>
      </c>
      <c r="C1271" s="3" t="str">
        <f>"和漢文操 / 蓮二房支考編 ; 巻之1-3(天) - 別録.-- 橘屋治兵衛; 享保12(1727)年9月刊."</f>
        <v>和漢文操 / 蓮二房支考編 ; 巻之1-3(天) - 別録.-- 橘屋治兵衛; 享保12(1727)年9月刊.</v>
      </c>
    </row>
    <row r="1272" spans="1:3" ht="11.25">
      <c r="A1272" s="3" t="str">
        <f>"911.3/237/1/MASAOKA"</f>
        <v>911.3/237/1/MASAOKA</v>
      </c>
      <c r="B1272" s="3" t="str">
        <f>"上"</f>
        <v>上</v>
      </c>
      <c r="C1272" s="3" t="str">
        <f>"芭蕉翁絵詞伝 / 蝶夢幻阿弥陀仏編 ; 上・下, 上, 下.-- 橘屋治兵衛[ほか1軒]; [寛政5(1793)年4月成立]."</f>
        <v>芭蕉翁絵詞伝 / 蝶夢幻阿弥陀仏編 ; 上・下, 上, 下.-- 橘屋治兵衛[ほか1軒]; [寛政5(1793)年4月成立].</v>
      </c>
    </row>
    <row r="1273" spans="1:3" ht="11.25">
      <c r="A1273" s="3" t="str">
        <f>"911.3/237/3/MASAOKA"</f>
        <v>911.3/237/3/MASAOKA</v>
      </c>
      <c r="B1273" s="3" t="str">
        <f>"下"</f>
        <v>下</v>
      </c>
      <c r="C1273" s="3" t="str">
        <f>"芭蕉翁絵詞伝 / 蝶夢幻阿弥陀仏編 ; 上・下, 上, 下.-- 橘屋治兵衛[ほか1軒]; [寛政5(1793)年4月成立]."</f>
        <v>芭蕉翁絵詞伝 / 蝶夢幻阿弥陀仏編 ; 上・下, 上, 下.-- 橘屋治兵衛[ほか1軒]; [寛政5(1793)年4月成立].</v>
      </c>
    </row>
    <row r="1274" spans="1:3" ht="11.25">
      <c r="A1274" s="3" t="str">
        <f>"911.3/238/1/MASAOKA"</f>
        <v>911.3/238/1/MASAOKA</v>
      </c>
      <c r="B1274" s="3" t="str">
        <f>"首"</f>
        <v>首</v>
      </c>
      <c r="C1274" s="3" t="str">
        <f>"本朝文鑑 / 蓮二坊支考編 ; 首 - 8・9.-- 野田治兵衛[ほか1軒]; 享保3(1718)年6月."</f>
        <v>本朝文鑑 / 蓮二坊支考編 ; 首 - 8・9.-- 野田治兵衛[ほか1軒]; 享保3(1718)年6月.</v>
      </c>
    </row>
    <row r="1275" spans="1:3" ht="11.25">
      <c r="A1275" s="3" t="str">
        <f>"911.3/238/2/MASAOKA"</f>
        <v>911.3/238/2/MASAOKA</v>
      </c>
      <c r="B1275" s="3" t="str">
        <f>"2・3"</f>
        <v>2・3</v>
      </c>
      <c r="C1275" s="3" t="str">
        <f>"本朝文鑑 / 蓮二坊支考編 ; 首 - 8・9.-- 野田治兵衛[ほか1軒]; 享保3(1718)年6月."</f>
        <v>本朝文鑑 / 蓮二坊支考編 ; 首 - 8・9.-- 野田治兵衛[ほか1軒]; 享保3(1718)年6月.</v>
      </c>
    </row>
    <row r="1276" spans="1:3" ht="11.25">
      <c r="A1276" s="3" t="str">
        <f>"911.3/238/3/MASAOKA"</f>
        <v>911.3/238/3/MASAOKA</v>
      </c>
      <c r="B1276" s="3" t="str">
        <f>"4・5"</f>
        <v>4・5</v>
      </c>
      <c r="C1276" s="3" t="str">
        <f>"本朝文鑑 / 蓮二坊支考編 ; 首 - 8・9.-- 野田治兵衛[ほか1軒]; 享保3(1718)年6月."</f>
        <v>本朝文鑑 / 蓮二坊支考編 ; 首 - 8・9.-- 野田治兵衛[ほか1軒]; 享保3(1718)年6月.</v>
      </c>
    </row>
    <row r="1277" spans="1:3" ht="11.25">
      <c r="A1277" s="3" t="str">
        <f>"911.3/238/4/MASAOKA"</f>
        <v>911.3/238/4/MASAOKA</v>
      </c>
      <c r="B1277" s="3" t="str">
        <f>"6・7"</f>
        <v>6・7</v>
      </c>
      <c r="C1277" s="3" t="str">
        <f>"本朝文鑑 / 蓮二坊支考編 ; 首 - 8・9.-- 野田治兵衛[ほか1軒]; 享保3(1718)年6月."</f>
        <v>本朝文鑑 / 蓮二坊支考編 ; 首 - 8・9.-- 野田治兵衛[ほか1軒]; 享保3(1718)年6月.</v>
      </c>
    </row>
    <row r="1278" spans="1:3" ht="11.25">
      <c r="A1278" s="3" t="str">
        <f>"911.3/238/5/MASAOKA"</f>
        <v>911.3/238/5/MASAOKA</v>
      </c>
      <c r="B1278" s="3" t="str">
        <f>"8・9"</f>
        <v>8・9</v>
      </c>
      <c r="C1278" s="3" t="str">
        <f>"本朝文鑑 / 蓮二坊支考編 ; 首 - 8・9.-- 野田治兵衛[ほか1軒]; 享保3(1718)年6月."</f>
        <v>本朝文鑑 / 蓮二坊支考編 ; 首 - 8・9.-- 野田治兵衛[ほか1軒]; 享保3(1718)年6月.</v>
      </c>
    </row>
    <row r="1279" spans="1:3" ht="11.25">
      <c r="A1279" s="3" t="str">
        <f>"911.3/239/1/MASAOKA"</f>
        <v>911.3/239/1/MASAOKA</v>
      </c>
      <c r="B1279" s="3" t="str">
        <f>"上"</f>
        <v>上</v>
      </c>
      <c r="C1279" s="3" t="str">
        <f>"芭蕉門古人真跡 / 蝶夢幻阿弥陀仏 ; 上・下, 上, 下.-- [出版者不明]; [天明2(1782)年10月成立]."</f>
        <v>芭蕉門古人真跡 / 蝶夢幻阿弥陀仏 ; 上・下, 上, 下.-- [出版者不明]; [天明2(1782)年10月成立].</v>
      </c>
    </row>
    <row r="1280" spans="1:3" ht="11.25">
      <c r="A1280" s="3" t="str">
        <f>"911.3/239/2/MASAOKA"</f>
        <v>911.3/239/2/MASAOKA</v>
      </c>
      <c r="B1280" s="3" t="str">
        <f>"下"</f>
        <v>下</v>
      </c>
      <c r="C1280" s="3" t="str">
        <f>"芭蕉門古人真跡 / 蝶夢幻阿弥陀仏 ; 上・下, 上, 下.-- [出版者不明]; [天明2(1782)年10月成立]."</f>
        <v>芭蕉門古人真跡 / 蝶夢幻阿弥陀仏 ; 上・下, 上, 下.-- [出版者不明]; [天明2(1782)年10月成立].</v>
      </c>
    </row>
    <row r="1281" spans="1:3" ht="11.25">
      <c r="A1281" s="3" t="str">
        <f>"911.3/240//MASAOKA"</f>
        <v>911.3/240//MASAOKA</v>
      </c>
      <c r="B1281" s="3">
        <f>""</f>
      </c>
      <c r="C1281" s="3" t="str">
        <f>"くるまふね / [子日庵一草選].-- 菊舎太兵衛; 寛政12(1799)年."</f>
        <v>くるまふね / [子日庵一草選].-- 菊舎太兵衛; 寛政12(1799)年.</v>
      </c>
    </row>
    <row r="1282" spans="1:3" ht="11.25">
      <c r="A1282" s="3" t="str">
        <f>"911.3/241//MASAOKA"</f>
        <v>911.3/241//MASAOKA</v>
      </c>
      <c r="B1282" s="3">
        <f>""</f>
      </c>
      <c r="C1282" s="3" t="str">
        <f>"誹諧亀慶追善.風の前 / [巣蓮亀及ほか編].-- [出版者不明]; 寛保2(1742)年6月."</f>
        <v>誹諧亀慶追善.風の前 / [巣蓮亀及ほか編].-- [出版者不明]; 寛保2(1742)年6月.</v>
      </c>
    </row>
    <row r="1283" spans="1:3" ht="11.25">
      <c r="A1283" s="3" t="str">
        <f>"911.3/242//MASAOKA"</f>
        <v>911.3/242//MASAOKA</v>
      </c>
      <c r="B1283" s="3">
        <f>""</f>
      </c>
      <c r="C1283" s="3" t="str">
        <f>"うつらたち / 麦水.-- [出版者不明]; [宝暦某年6月序]."</f>
        <v>うつらたち / 麦水.-- [出版者不明]; [宝暦某年6月序].</v>
      </c>
    </row>
    <row r="1284" spans="1:3" ht="11.25">
      <c r="A1284" s="3" t="str">
        <f>"911.3/243//MASAOKA"</f>
        <v>911.3/243//MASAOKA</v>
      </c>
      <c r="B1284" s="3">
        <f>""</f>
      </c>
      <c r="C1284" s="3" t="str">
        <f>"俳諧菰一重 / 既白撰 ; 全.-- [出版者不明]; [出版年不明]."</f>
        <v>俳諧菰一重 / 既白撰 ; 全.-- [出版者不明]; [出版年不明].</v>
      </c>
    </row>
    <row r="1285" spans="1:3" ht="11.25">
      <c r="A1285" s="3" t="str">
        <f>"911.3/244//MASAOKA"</f>
        <v>911.3/244//MASAOKA</v>
      </c>
      <c r="B1285" s="3">
        <f>""</f>
      </c>
      <c r="C1285" s="3" t="str">
        <f>"新花摘 / 蕪村著,松村呉春編・画.-- [出版者不明]; [天明4(1784)年4月成立]."</f>
        <v>新花摘 / 蕪村著,松村呉春編・画.-- [出版者不明]; [天明4(1784)年4月成立].</v>
      </c>
    </row>
    <row r="1286" spans="1:3" ht="11.25">
      <c r="A1286" s="3" t="str">
        <f>"911.3/245/1/MASAOKA"</f>
        <v>911.3/245/1/MASAOKA</v>
      </c>
      <c r="B1286" s="3" t="str">
        <f>"1巻"</f>
        <v>1巻</v>
      </c>
      <c r="C1286" s="3" t="str">
        <f aca="true" t="shared" si="29" ref="C1286:C1297">"分類俳句全集 / 正岡子規 ; 1-12巻 - 12巻.-- 普及版.-- アルス; 昭和10-11(1935-1936)年."</f>
        <v>分類俳句全集 / 正岡子規 ; 1-12巻 - 12巻.-- 普及版.-- アルス; 昭和10-11(1935-1936)年.</v>
      </c>
    </row>
    <row r="1287" spans="1:3" ht="11.25">
      <c r="A1287" s="3" t="str">
        <f>"911.3/245/12/MASAOKA"</f>
        <v>911.3/245/12/MASAOKA</v>
      </c>
      <c r="B1287" s="3" t="str">
        <f>"12巻"</f>
        <v>12巻</v>
      </c>
      <c r="C1287" s="3" t="str">
        <f t="shared" si="29"/>
        <v>分類俳句全集 / 正岡子規 ; 1-12巻 - 12巻.-- 普及版.-- アルス; 昭和10-11(1935-1936)年.</v>
      </c>
    </row>
    <row r="1288" spans="1:3" ht="11.25">
      <c r="A1288" s="3" t="str">
        <f>"911.3/245/2/MASAOKA"</f>
        <v>911.3/245/2/MASAOKA</v>
      </c>
      <c r="B1288" s="3" t="str">
        <f>"2巻"</f>
        <v>2巻</v>
      </c>
      <c r="C1288" s="3" t="str">
        <f t="shared" si="29"/>
        <v>分類俳句全集 / 正岡子規 ; 1-12巻 - 12巻.-- 普及版.-- アルス; 昭和10-11(1935-1936)年.</v>
      </c>
    </row>
    <row r="1289" spans="1:3" ht="11.25">
      <c r="A1289" s="3" t="str">
        <f>"911.3/245/3/MASAOKA"</f>
        <v>911.3/245/3/MASAOKA</v>
      </c>
      <c r="B1289" s="3" t="str">
        <f>"3巻"</f>
        <v>3巻</v>
      </c>
      <c r="C1289" s="3" t="str">
        <f t="shared" si="29"/>
        <v>分類俳句全集 / 正岡子規 ; 1-12巻 - 12巻.-- 普及版.-- アルス; 昭和10-11(1935-1936)年.</v>
      </c>
    </row>
    <row r="1290" spans="1:3" ht="11.25">
      <c r="A1290" s="3" t="str">
        <f>"911.3/245/4/MASAOKA"</f>
        <v>911.3/245/4/MASAOKA</v>
      </c>
      <c r="B1290" s="3" t="str">
        <f>"4巻"</f>
        <v>4巻</v>
      </c>
      <c r="C1290" s="3" t="str">
        <f t="shared" si="29"/>
        <v>分類俳句全集 / 正岡子規 ; 1-12巻 - 12巻.-- 普及版.-- アルス; 昭和10-11(1935-1936)年.</v>
      </c>
    </row>
    <row r="1291" spans="1:3" ht="11.25">
      <c r="A1291" s="3" t="str">
        <f>"911.3/245/5/MASAOKA"</f>
        <v>911.3/245/5/MASAOKA</v>
      </c>
      <c r="B1291" s="3" t="str">
        <f>"5巻"</f>
        <v>5巻</v>
      </c>
      <c r="C1291" s="3" t="str">
        <f t="shared" si="29"/>
        <v>分類俳句全集 / 正岡子規 ; 1-12巻 - 12巻.-- 普及版.-- アルス; 昭和10-11(1935-1936)年.</v>
      </c>
    </row>
    <row r="1292" spans="1:3" ht="11.25">
      <c r="A1292" s="3" t="str">
        <f>"911.3/245/6/MASAOKA"</f>
        <v>911.3/245/6/MASAOKA</v>
      </c>
      <c r="B1292" s="3" t="str">
        <f>"6巻"</f>
        <v>6巻</v>
      </c>
      <c r="C1292" s="3" t="str">
        <f t="shared" si="29"/>
        <v>分類俳句全集 / 正岡子規 ; 1-12巻 - 12巻.-- 普及版.-- アルス; 昭和10-11(1935-1936)年.</v>
      </c>
    </row>
    <row r="1293" spans="1:3" ht="11.25">
      <c r="A1293" s="3" t="str">
        <f>"911.3/245/7/MASAOKA"</f>
        <v>911.3/245/7/MASAOKA</v>
      </c>
      <c r="B1293" s="3" t="str">
        <f>"7巻"</f>
        <v>7巻</v>
      </c>
      <c r="C1293" s="3" t="str">
        <f t="shared" si="29"/>
        <v>分類俳句全集 / 正岡子規 ; 1-12巻 - 12巻.-- 普及版.-- アルス; 昭和10-11(1935-1936)年.</v>
      </c>
    </row>
    <row r="1294" spans="1:3" ht="11.25">
      <c r="A1294" s="3" t="str">
        <f>"911.3/245/8/MASAOKA"</f>
        <v>911.3/245/8/MASAOKA</v>
      </c>
      <c r="B1294" s="3" t="str">
        <f>"8巻"</f>
        <v>8巻</v>
      </c>
      <c r="C1294" s="3" t="str">
        <f t="shared" si="29"/>
        <v>分類俳句全集 / 正岡子規 ; 1-12巻 - 12巻.-- 普及版.-- アルス; 昭和10-11(1935-1936)年.</v>
      </c>
    </row>
    <row r="1295" spans="1:3" ht="11.25">
      <c r="A1295" s="3" t="str">
        <f>"911.3/245/9/MASAOKA"</f>
        <v>911.3/245/9/MASAOKA</v>
      </c>
      <c r="B1295" s="3" t="str">
        <f>"9巻"</f>
        <v>9巻</v>
      </c>
      <c r="C1295" s="3" t="str">
        <f t="shared" si="29"/>
        <v>分類俳句全集 / 正岡子規 ; 1-12巻 - 12巻.-- 普及版.-- アルス; 昭和10-11(1935-1936)年.</v>
      </c>
    </row>
    <row r="1296" spans="1:3" ht="11.25">
      <c r="A1296" s="3" t="str">
        <f>"911.3/245/10/MASAOKA"</f>
        <v>911.3/245/10/MASAOKA</v>
      </c>
      <c r="B1296" s="3" t="str">
        <f>"10巻"</f>
        <v>10巻</v>
      </c>
      <c r="C1296" s="3" t="str">
        <f t="shared" si="29"/>
        <v>分類俳句全集 / 正岡子規 ; 1-12巻 - 12巻.-- 普及版.-- アルス; 昭和10-11(1935-1936)年.</v>
      </c>
    </row>
    <row r="1297" spans="1:3" ht="11.25">
      <c r="A1297" s="3" t="str">
        <f>"911.3/245/11/MASAOKA"</f>
        <v>911.3/245/11/MASAOKA</v>
      </c>
      <c r="B1297" s="3" t="str">
        <f>"11巻"</f>
        <v>11巻</v>
      </c>
      <c r="C1297" s="3" t="str">
        <f t="shared" si="29"/>
        <v>分類俳句全集 / 正岡子規 ; 1-12巻 - 12巻.-- 普及版.-- アルス; 昭和10-11(1935-1936)年.</v>
      </c>
    </row>
    <row r="1298" spans="1:3" ht="11.25">
      <c r="A1298" s="3" t="str">
        <f>"911.3/246//MASAOKA"</f>
        <v>911.3/246//MASAOKA</v>
      </c>
      <c r="B1298" s="3">
        <f>""</f>
      </c>
      <c r="C1298" s="3" t="str">
        <f>"誹諧言笛集 / 錦舎素柳編.-- [出版者不明]; 天保9(1838)年11月序."</f>
        <v>誹諧言笛集 / 錦舎素柳編.-- [出版者不明]; 天保9(1838)年11月序.</v>
      </c>
    </row>
    <row r="1299" spans="1:3" ht="11.25">
      <c r="A1299" s="3" t="str">
        <f>"911.3/247//MASAOKA"</f>
        <v>911.3/247//MASAOKA</v>
      </c>
      <c r="B1299" s="3">
        <f>""</f>
      </c>
      <c r="C1299" s="3" t="str">
        <f>"俳文評釈 / 坂本四方太著.-- 新声社; 明治33(1900)年2月.-- (評釈叢書 ; 第3編)."</f>
        <v>俳文評釈 / 坂本四方太著.-- 新声社; 明治33(1900)年2月.-- (評釈叢書 ; 第3編).</v>
      </c>
    </row>
    <row r="1300" spans="1:3" ht="11.25">
      <c r="A1300" s="3" t="str">
        <f>"911.3/248/1/MASAOKA"</f>
        <v>911.3/248/1/MASAOKA</v>
      </c>
      <c r="B1300" s="3" t="str">
        <f>"乾"</f>
        <v>乾</v>
      </c>
      <c r="C1300" s="3" t="str">
        <f>"新撰猿菟玖波集 / 一陽井素外編 ; 乾・坤, 乾, 坤.-- 花屋久次郎; [文化13(1816)年刊]."</f>
        <v>新撰猿菟玖波集 / 一陽井素外編 ; 乾・坤, 乾, 坤.-- 花屋久次郎; [文化13(1816)年刊].</v>
      </c>
    </row>
    <row r="1301" spans="1:3" ht="11.25">
      <c r="A1301" s="3" t="str">
        <f>"911.3/248/2/MASAOKA"</f>
        <v>911.3/248/2/MASAOKA</v>
      </c>
      <c r="B1301" s="3" t="str">
        <f>"坤"</f>
        <v>坤</v>
      </c>
      <c r="C1301" s="3" t="str">
        <f>"新撰猿菟玖波集 / 一陽井素外編 ; 乾・坤, 乾, 坤.-- 花屋久次郎; [文化13(1816)年刊]."</f>
        <v>新撰猿菟玖波集 / 一陽井素外編 ; 乾・坤, 乾, 坤.-- 花屋久次郎; [文化13(1816)年刊].</v>
      </c>
    </row>
    <row r="1302" spans="1:3" ht="11.25">
      <c r="A1302" s="3" t="str">
        <f>"911.3/249//MASAOKA"</f>
        <v>911.3/249//MASAOKA</v>
      </c>
      <c r="B1302" s="3">
        <f>""</f>
      </c>
      <c r="C1302" s="3" t="str">
        <f>"俳諧夜話狂 / 寂保斎宇中編 ; 全.-- 井筒屋庄兵衛; 元禄16(1703)年11月刊,文化13(1816)年7月写."</f>
        <v>俳諧夜話狂 / 寂保斎宇中編 ; 全.-- 井筒屋庄兵衛; 元禄16(1703)年11月刊,文化13(1816)年7月写.</v>
      </c>
    </row>
    <row r="1303" spans="1:3" ht="11.25">
      <c r="A1303" s="3" t="str">
        <f>"911.3/250//MASAOKA"</f>
        <v>911.3/250//MASAOKA</v>
      </c>
      <c r="B1303" s="3">
        <f>""</f>
      </c>
      <c r="C1303" s="3" t="str">
        <f>"俳諧流行七部集 / [俳諧堂主人編].-- 獻可堂; [文政3(1820)年刊]."</f>
        <v>俳諧流行七部集 / [俳諧堂主人編].-- 獻可堂; [文政3(1820)年刊].</v>
      </c>
    </row>
    <row r="1304" spans="1:3" ht="11.25">
      <c r="A1304" s="3" t="str">
        <f>"911.3/251//MASAOKA"</f>
        <v>911.3/251//MASAOKA</v>
      </c>
      <c r="B1304" s="3">
        <f>""</f>
      </c>
      <c r="C1304" s="3" t="str">
        <f>"俳諧古選 / 嘯山編.-- 井筒屋荘兵衛,西村平八; 宝暦13(1763)年1月刊."</f>
        <v>俳諧古選 / 嘯山編.-- 井筒屋荘兵衛,西村平八; 宝暦13(1763)年1月刊.</v>
      </c>
    </row>
    <row r="1305" spans="1:3" ht="11.25">
      <c r="A1305" s="3" t="str">
        <f>"911.3/252//MASAOKA"</f>
        <v>911.3/252//MASAOKA</v>
      </c>
      <c r="B1305" s="3">
        <f>""</f>
      </c>
      <c r="C1305" s="3" t="str">
        <f>"江の島紀行 / 其角堂永機述.-- [出版者不明]; 明治16(1883)年5月."</f>
        <v>江の島紀行 / 其角堂永機述.-- [出版者不明]; 明治16(1883)年5月.</v>
      </c>
    </row>
    <row r="1306" spans="1:3" ht="11.25">
      <c r="A1306" s="3" t="str">
        <f>"911.3/253//MASAOKA"</f>
        <v>911.3/253//MASAOKA</v>
      </c>
      <c r="B1306" s="3">
        <f>""</f>
      </c>
      <c r="C1306" s="3" t="str">
        <f>"歳旦玉かつら / 不角撰.-- [出版者不明]; [出版年不明]."</f>
        <v>歳旦玉かつら / 不角撰.-- [出版者不明]; [出版年不明].</v>
      </c>
    </row>
    <row r="1307" spans="1:3" ht="11.25">
      <c r="A1307" s="3" t="str">
        <f>"911.3/254//MASAOKA"</f>
        <v>911.3/254//MASAOKA</v>
      </c>
      <c r="B1307" s="3">
        <f>""</f>
      </c>
      <c r="C1307" s="3" t="str">
        <f>"花七草 / 須田正璋編.-- [出版者不明]; 天保2(1831)年自序."</f>
        <v>花七草 / 須田正璋編.-- [出版者不明]; 天保2(1831)年自序.</v>
      </c>
    </row>
    <row r="1308" spans="1:3" ht="11.25">
      <c r="A1308" s="3" t="str">
        <f>"911.3/255//MASAOKA"</f>
        <v>911.3/255//MASAOKA</v>
      </c>
      <c r="B1308" s="3">
        <f>""</f>
      </c>
      <c r="C1308" s="3" t="str">
        <f>"雪月華 / 湖鏡楼見龍編.-- 吉田魚川彫; 元文1(1736)年8月."</f>
        <v>雪月華 / 湖鏡楼見龍編.-- 吉田魚川彫; 元文1(1736)年8月.</v>
      </c>
    </row>
    <row r="1309" spans="1:3" ht="11.25">
      <c r="A1309" s="3" t="str">
        <f>"911.3/256//MASAOKA"</f>
        <v>911.3/256//MASAOKA</v>
      </c>
      <c r="B1309" s="3">
        <f>""</f>
      </c>
      <c r="C1309" s="3" t="str">
        <f>"歴代滑[ケイ]傳 / 五老井許六撰.-- 一茶亭森羅; 嘉永7(1854)年9月中旬写."</f>
        <v>歴代滑[ケイ]傳 / 五老井許六撰.-- 一茶亭森羅; 嘉永7(1854)年9月中旬写.</v>
      </c>
    </row>
    <row r="1310" spans="1:3" ht="11.25">
      <c r="A1310" s="3" t="str">
        <f>"911.3/257//MASAOKA"</f>
        <v>911.3/257//MASAOKA</v>
      </c>
      <c r="B1310" s="3">
        <f>""</f>
      </c>
      <c r="C1310" s="3" t="str">
        <f>"月のふみ / 一草撰.-- 菊舎太兵衛; [文化・文政(1804-1830)頃]."</f>
        <v>月のふみ / 一草撰.-- 菊舎太兵衛; [文化・文政(1804-1830)頃].</v>
      </c>
    </row>
    <row r="1311" spans="1:3" ht="11.25">
      <c r="A1311" s="3" t="str">
        <f>"911.3/258//MASAOKA"</f>
        <v>911.3/258//MASAOKA</v>
      </c>
      <c r="B1311" s="3">
        <f>""</f>
      </c>
      <c r="C1311" s="3" t="str">
        <f>"時雨文庫 / [楳笠編].-- [出版者不明]; 嘉永1(1848)年6月跋."</f>
        <v>時雨文庫 / [楳笠編].-- [出版者不明]; 嘉永1(1848)年6月跋.</v>
      </c>
    </row>
    <row r="1312" spans="1:3" ht="11.25">
      <c r="A1312" s="3" t="str">
        <f>"911.3/259//MASAOKA"</f>
        <v>911.3/259//MASAOKA</v>
      </c>
      <c r="B1312" s="3">
        <f>""</f>
      </c>
      <c r="C1312" s="3" t="str">
        <f>"筑波紀行(鹿島立) / [柳几著].-- 辻村五兵衛; [宝暦5(1755)年か]."</f>
        <v>筑波紀行(鹿島立) / [柳几著].-- 辻村五兵衛; [宝暦5(1755)年か].</v>
      </c>
    </row>
    <row r="1313" spans="1:3" ht="11.25">
      <c r="A1313" s="3" t="str">
        <f>"911.3/260//MASAOKA"</f>
        <v>911.3/260//MASAOKA</v>
      </c>
      <c r="B1313" s="3">
        <f>""</f>
      </c>
      <c r="C1313" s="3" t="str">
        <f>"熊野詣 / 省吾撰.-- [出版者不明]; 文化5(1822)年跋刊."</f>
        <v>熊野詣 / 省吾撰.-- [出版者不明]; 文化5(1822)年跋刊.</v>
      </c>
    </row>
    <row r="1314" spans="1:3" ht="11.25">
      <c r="A1314" s="3" t="str">
        <f>"911.3/261//MASAOKA"</f>
        <v>911.3/261//MASAOKA</v>
      </c>
      <c r="B1314" s="3">
        <f>""</f>
      </c>
      <c r="C1314" s="3" t="str">
        <f>"[関清水物語] / [于当編].-- 菊舎太兵衛; [文化6(1809)年12月成立]."</f>
        <v>[関清水物語] / [于当編].-- 菊舎太兵衛; [文化6(1809)年12月成立].</v>
      </c>
    </row>
    <row r="1315" spans="1:3" ht="11.25">
      <c r="A1315" s="3" t="str">
        <f>"911.3/262//MASAOKA"</f>
        <v>911.3/262//MASAOKA</v>
      </c>
      <c r="B1315" s="3">
        <f>""</f>
      </c>
      <c r="C1315" s="3" t="str">
        <f>"俳諧集 : 安永六丁酉歳旦 / [著者不明].-- 藤屋忠兵衛; 安永6(1777)年1月刊."</f>
        <v>俳諧集 : 安永六丁酉歳旦 / [著者不明].-- 藤屋忠兵衛; 安永6(1777)年1月刊.</v>
      </c>
    </row>
    <row r="1316" spans="1:3" ht="11.25">
      <c r="A1316" s="3" t="str">
        <f>"911.3/263//MASAOKA"</f>
        <v>911.3/263//MASAOKA</v>
      </c>
      <c r="B1316" s="3">
        <f>""</f>
      </c>
      <c r="C1316" s="3" t="str">
        <f>"その福部集 / [烏月楼編].-- 菊舎太兵衛; 文化7(1810)年5月序刊."</f>
        <v>その福部集 / [烏月楼編].-- 菊舎太兵衛; 文化7(1810)年5月序刊.</v>
      </c>
    </row>
    <row r="1317" spans="1:3" ht="11.25">
      <c r="A1317" s="3" t="str">
        <f>"911.3/264//MASAOKA"</f>
        <v>911.3/264//MASAOKA</v>
      </c>
      <c r="B1317" s="3" t="str">
        <f>"全"</f>
        <v>全</v>
      </c>
      <c r="C1317" s="3" t="str">
        <f>"発句春の遊び / 虚実庵春路編 ; 全.-- [出版者不明]; [明和7(1770)年1月成立]."</f>
        <v>発句春の遊び / 虚実庵春路編 ; 全.-- [出版者不明]; [明和7(1770)年1月成立].</v>
      </c>
    </row>
    <row r="1318" spans="1:3" ht="11.25">
      <c r="A1318" s="3" t="str">
        <f>"911.3/265/1/MASAOKA"</f>
        <v>911.3/265/1/MASAOKA</v>
      </c>
      <c r="B1318" s="3" t="str">
        <f>"上"</f>
        <v>上</v>
      </c>
      <c r="C1318" s="3" t="str">
        <f>"時代模画俳家奇人談 / 竹内玄玄一著 蓬濾青青編 ; 巻之上,巻之中,巻之下 - 下.-- 万笈堂; 文化13(1816)年春成立."</f>
        <v>時代模画俳家奇人談 / 竹内玄玄一著 蓬濾青青編 ; 巻之上,巻之中,巻之下 - 下.-- 万笈堂; 文化13(1816)年春成立.</v>
      </c>
    </row>
    <row r="1319" spans="1:3" ht="11.25">
      <c r="A1319" s="3" t="str">
        <f>"911.3/265/2/MASAOKA"</f>
        <v>911.3/265/2/MASAOKA</v>
      </c>
      <c r="B1319" s="3" t="str">
        <f>"中"</f>
        <v>中</v>
      </c>
      <c r="C1319" s="3" t="str">
        <f>"時代模画俳家奇人談 / 竹内玄玄一著 蓬濾青青編 ; 巻之上,巻之中,巻之下 - 下.-- 万笈堂; 文化13(1816)年春成立."</f>
        <v>時代模画俳家奇人談 / 竹内玄玄一著 蓬濾青青編 ; 巻之上,巻之中,巻之下 - 下.-- 万笈堂; 文化13(1816)年春成立.</v>
      </c>
    </row>
    <row r="1320" spans="1:3" ht="11.25">
      <c r="A1320" s="3" t="str">
        <f>"911.3/265/3/MASAOKA"</f>
        <v>911.3/265/3/MASAOKA</v>
      </c>
      <c r="B1320" s="3" t="str">
        <f>"下"</f>
        <v>下</v>
      </c>
      <c r="C1320" s="3" t="str">
        <f>"時代模画俳家奇人談 / 竹内玄玄一著 蓬濾青青編 ; 巻之上,巻之中,巻之下 - 下.-- 万笈堂; 文化13(1816)年春成立."</f>
        <v>時代模画俳家奇人談 / 竹内玄玄一著 蓬濾青青編 ; 巻之上,巻之中,巻之下 - 下.-- 万笈堂; 文化13(1816)年春成立.</v>
      </c>
    </row>
    <row r="1321" spans="1:3" ht="11.25">
      <c r="A1321" s="3" t="str">
        <f>"911.3/265/b/MASAOKA"</f>
        <v>911.3/265/b/MASAOKA</v>
      </c>
      <c r="B1321" s="3" t="str">
        <f>"上・中・下"</f>
        <v>上・中・下</v>
      </c>
      <c r="C1321" s="3" t="str">
        <f>"続俳家奇人談 / 蓬濾青青山人著 ; 上中下, 上・中・下.-- 大坂屋源兵衛[ほか4軒]; 天保3(1832)年7月刊."</f>
        <v>続俳家奇人談 / 蓬濾青青山人著 ; 上中下, 上・中・下.-- 大坂屋源兵衛[ほか4軒]; 天保3(1832)年7月刊.</v>
      </c>
    </row>
    <row r="1322" spans="1:3" ht="11.25">
      <c r="A1322" s="3" t="str">
        <f>"911.3/266//MASAOKA"</f>
        <v>911.3/266//MASAOKA</v>
      </c>
      <c r="B1322" s="3">
        <f>""</f>
      </c>
      <c r="C1322" s="3" t="str">
        <f>"ちとりきゝ / [五彩堂桐栖編].-- [出版者不明]; [享和1(1801)年12月成立]."</f>
        <v>ちとりきゝ / [五彩堂桐栖編].-- [出版者不明]; [享和1(1801)年12月成立].</v>
      </c>
    </row>
    <row r="1323" spans="1:3" ht="11.25">
      <c r="A1323" s="3" t="str">
        <f>"911.3/267//MASAOKA"</f>
        <v>911.3/267//MASAOKA</v>
      </c>
      <c r="B1323" s="3">
        <f>""</f>
      </c>
      <c r="C1323" s="3" t="str">
        <f>"ひとくとり / 枇杷園士朗編.-- [出版者不明]; 寛政11(1799)年春刊."</f>
        <v>ひとくとり / 枇杷園士朗編.-- [出版者不明]; 寛政11(1799)年春刊.</v>
      </c>
    </row>
    <row r="1324" spans="1:3" ht="11.25">
      <c r="A1324" s="3" t="str">
        <f>"911.3/268/1/MASAOKA"</f>
        <v>911.3/268/1/MASAOKA</v>
      </c>
      <c r="B1324" s="3" t="str">
        <f>"天"</f>
        <v>天</v>
      </c>
      <c r="C1324" s="3" t="str">
        <f>"笠の露集 / 柳下井栄圃編 ; 天・地, 地, 天.-- [橘屋治兵衛]; [出版年不明]."</f>
        <v>笠の露集 / 柳下井栄圃編 ; 天・地, 地, 天.-- [橘屋治兵衛]; [出版年不明].</v>
      </c>
    </row>
    <row r="1325" spans="1:3" ht="11.25">
      <c r="A1325" s="3" t="str">
        <f>"911.3/268/2/MASAOKA"</f>
        <v>911.3/268/2/MASAOKA</v>
      </c>
      <c r="B1325" s="3" t="str">
        <f>"地"</f>
        <v>地</v>
      </c>
      <c r="C1325" s="3" t="str">
        <f>"笠の露集 / 柳下井栄圃編 ; 天・地, 地, 天.-- [橘屋治兵衛]; [出版年不明]."</f>
        <v>笠の露集 / 柳下井栄圃編 ; 天・地, 地, 天.-- [橘屋治兵衛]; [出版年不明].</v>
      </c>
    </row>
    <row r="1326" spans="1:3" ht="11.25">
      <c r="A1326" s="3" t="str">
        <f>"911.3/269/1/MASAOKA"</f>
        <v>911.3/269/1/MASAOKA</v>
      </c>
      <c r="B1326" s="3" t="str">
        <f>"上"</f>
        <v>上</v>
      </c>
      <c r="C1326" s="3" t="str">
        <f>"芭蕉翁文集 / 蝶夢編 ; 上・下, 上, 下.-- 橘屋治兵衛[ほか2軒]; [安永5(1776)年1月成立]."</f>
        <v>芭蕉翁文集 / 蝶夢編 ; 上・下, 上, 下.-- 橘屋治兵衛[ほか2軒]; [安永5(1776)年1月成立].</v>
      </c>
    </row>
    <row r="1327" spans="1:3" ht="11.25">
      <c r="A1327" s="3" t="str">
        <f>"911.3/269/2/MASAOKA"</f>
        <v>911.3/269/2/MASAOKA</v>
      </c>
      <c r="B1327" s="3" t="str">
        <f>"下"</f>
        <v>下</v>
      </c>
      <c r="C1327" s="3" t="str">
        <f>"芭蕉翁文集 / 蝶夢編 ; 上・下, 上, 下.-- 橘屋治兵衛[ほか2軒]; [安永5(1776)年1月成立]."</f>
        <v>芭蕉翁文集 / 蝶夢編 ; 上・下, 上, 下.-- 橘屋治兵衛[ほか2軒]; [安永5(1776)年1月成立].</v>
      </c>
    </row>
    <row r="1328" spans="1:3" ht="11.25">
      <c r="A1328" s="3" t="str">
        <f>"911.3/270/1/MASAOKA"</f>
        <v>911.3/270/1/MASAOKA</v>
      </c>
      <c r="B1328" s="3" t="str">
        <f>"3篇[上]"</f>
        <v>3篇[上]</v>
      </c>
      <c r="C1328" s="3" t="str">
        <f>"誹諧[ケイ] / 雪成編 ; 3編[上・中・下] - 3篇[下].-- 星運堂花屋久次郎; [安永2(1773)年春成立]."</f>
        <v>誹諧[ケイ] / 雪成編 ; 3編[上・中・下] - 3篇[下].-- 星運堂花屋久次郎; [安永2(1773)年春成立].</v>
      </c>
    </row>
    <row r="1329" spans="1:3" ht="11.25">
      <c r="A1329" s="3" t="str">
        <f>"911.3/270/2/MASAOKA"</f>
        <v>911.3/270/2/MASAOKA</v>
      </c>
      <c r="B1329" s="3" t="str">
        <f>"3篇[中]"</f>
        <v>3篇[中]</v>
      </c>
      <c r="C1329" s="3" t="str">
        <f>"誹諧[ケイ] / 雪成編 ; 3編[上・中・下] - 3篇[下].-- 星運堂花屋久次郎; [安永2(1773)年春成立]."</f>
        <v>誹諧[ケイ] / 雪成編 ; 3編[上・中・下] - 3篇[下].-- 星運堂花屋久次郎; [安永2(1773)年春成立].</v>
      </c>
    </row>
    <row r="1330" spans="1:3" ht="11.25">
      <c r="A1330" s="3" t="str">
        <f>"911.3/270/3/MASAOKA"</f>
        <v>911.3/270/3/MASAOKA</v>
      </c>
      <c r="B1330" s="3" t="str">
        <f>"3篇[下]"</f>
        <v>3篇[下]</v>
      </c>
      <c r="C1330" s="3" t="str">
        <f>"誹諧[ケイ] / 雪成編 ; 3編[上・中・下] - 3篇[下].-- 星運堂花屋久次郎; [安永2(1773)年春成立]."</f>
        <v>誹諧[ケイ] / 雪成編 ; 3編[上・中・下] - 3篇[下].-- 星運堂花屋久次郎; [安永2(1773)年春成立].</v>
      </c>
    </row>
    <row r="1331" spans="1:3" ht="11.25">
      <c r="A1331" s="3" t="str">
        <f>"911.3/271//MASAOKA"</f>
        <v>911.3/271//MASAOKA</v>
      </c>
      <c r="B1331" s="3">
        <f>""</f>
      </c>
      <c r="C1331" s="3" t="str">
        <f>"誹諧[ケイ] / 露竹舎雪成編.-- [花屋久次郎]; 明和5(1768)年7月序刊."</f>
        <v>誹諧[ケイ] / 露竹舎雪成編.-- [花屋久次郎]; 明和5(1768)年7月序刊.</v>
      </c>
    </row>
    <row r="1332" spans="1:3" ht="11.25">
      <c r="A1332" s="3" t="str">
        <f>"911.3/272/1/MASAOKA"</f>
        <v>911.3/272/1/MASAOKA</v>
      </c>
      <c r="B1332" s="3" t="str">
        <f>"28編 上巻"</f>
        <v>28編 上巻</v>
      </c>
      <c r="C1332" s="3" t="str">
        <f>"誹諧[ケイ] / 専阿歌淵編 ; 28編 上巻.-- [星運堂花屋久次郎]; 文政10(1827)年1月序刊."</f>
        <v>誹諧[ケイ] / 専阿歌淵編 ; 28編 上巻.-- [星運堂花屋久次郎]; 文政10(1827)年1月序刊.</v>
      </c>
    </row>
    <row r="1333" spans="1:3" ht="11.25">
      <c r="A1333" s="3" t="str">
        <f>"911.3/273//MASAOKA"</f>
        <v>911.3/273//MASAOKA</v>
      </c>
      <c r="B1333" s="3">
        <f>""</f>
      </c>
      <c r="C1333" s="3" t="str">
        <f>"[本朝八僊集ほか] / [八仙主人].-- [出版者不明]; [享保11(1726)6月跋写]."</f>
        <v>[本朝八僊集ほか] / [八仙主人].-- [出版者不明]; [享保11(1726)6月跋写].</v>
      </c>
    </row>
    <row r="1334" spans="1:3" ht="11.25">
      <c r="A1334" s="3" t="str">
        <f>"911.3/274//MASAOKA"</f>
        <v>911.3/274//MASAOKA</v>
      </c>
      <c r="B1334" s="3">
        <f>""</f>
      </c>
      <c r="C1334" s="3" t="str">
        <f>"発句手爾葉草 / 松窓乙二著 椎雨草踞補.-- [出版者不明]; [天保4(1833)年5月成立]."</f>
        <v>発句手爾葉草 / 松窓乙二著 椎雨草踞補.-- [出版者不明]; [天保4(1833)年5月成立].</v>
      </c>
    </row>
    <row r="1335" spans="1:3" ht="11.25">
      <c r="A1335" s="3" t="str">
        <f>"911.3/275//MASAOKA"</f>
        <v>911.3/275//MASAOKA</v>
      </c>
      <c r="B1335" s="3">
        <f>""</f>
      </c>
      <c r="C1335" s="3" t="str">
        <f>"不忘集 / 伊沢江二編.--  嶋本青宣."</f>
        <v>不忘集 / 伊沢江二編.--  嶋本青宣.</v>
      </c>
    </row>
    <row r="1336" spans="1:3" ht="11.25">
      <c r="A1336" s="3" t="str">
        <f>"911.3/276//MASAOKA"</f>
        <v>911.3/276//MASAOKA</v>
      </c>
      <c r="B1336" s="3">
        <f>""</f>
      </c>
      <c r="C1336" s="3" t="str">
        <f>"荒磯集 / [著者不明].-- [出版者不明]; 弘化3(1846)年6月刊."</f>
        <v>荒磯集 / [著者不明].-- [出版者不明]; 弘化3(1846)年6月刊.</v>
      </c>
    </row>
    <row r="1337" spans="1:3" ht="11.25">
      <c r="A1337" s="3" t="str">
        <f>"911.3/277//MASAOKA"</f>
        <v>911.3/277//MASAOKA</v>
      </c>
      <c r="B1337" s="3" t="str">
        <f>"全"</f>
        <v>全</v>
      </c>
      <c r="C1337" s="3" t="str">
        <f>"月信集 / 自然房揖 ; 全.-- 橘屋治兵衛; 文化8(1811)年跋刊."</f>
        <v>月信集 / 自然房揖 ; 全.-- 橘屋治兵衛; 文化8(1811)年跋刊.</v>
      </c>
    </row>
    <row r="1338" spans="1:3" ht="11.25">
      <c r="A1338" s="3" t="str">
        <f>"911.3/278//MASAOKA"</f>
        <v>911.3/278//MASAOKA</v>
      </c>
      <c r="B1338" s="3">
        <f>""</f>
      </c>
      <c r="C1338" s="3" t="str">
        <f>"早苗のみけ / 竹?案道山壮山編.-- [出版者不明]; 明治26(1893)年5月序刊."</f>
        <v>早苗のみけ / 竹?案道山壮山編.-- [出版者不明]; 明治26(1893)年5月序刊.</v>
      </c>
    </row>
    <row r="1339" spans="1:3" ht="11.25">
      <c r="A1339" s="3" t="str">
        <f>"911.3/279/1/MASAOKA"</f>
        <v>911.3/279/1/MASAOKA</v>
      </c>
      <c r="B1339" s="3" t="str">
        <f>"1"</f>
        <v>1</v>
      </c>
      <c r="C1339" s="3" t="str">
        <f>"靱随筆 / 権道米仲著 ; 1-3 - 3.--  西村源六."</f>
        <v>靱随筆 / 権道米仲著 ; 1-3 - 3.--  西村源六.</v>
      </c>
    </row>
    <row r="1340" spans="1:3" ht="11.25">
      <c r="A1340" s="3" t="str">
        <f>"911.3/279/2/MASAOKA"</f>
        <v>911.3/279/2/MASAOKA</v>
      </c>
      <c r="B1340" s="3" t="str">
        <f>"2"</f>
        <v>2</v>
      </c>
      <c r="C1340" s="3" t="str">
        <f>"靱随筆 / 権道米仲著 ; 1-3 - 3.--  西村源六."</f>
        <v>靱随筆 / 権道米仲著 ; 1-3 - 3.--  西村源六.</v>
      </c>
    </row>
    <row r="1341" spans="1:3" ht="11.25">
      <c r="A1341" s="3" t="str">
        <f>"911.3/279/3/MASAOKA"</f>
        <v>911.3/279/3/MASAOKA</v>
      </c>
      <c r="B1341" s="3" t="str">
        <f>"3"</f>
        <v>3</v>
      </c>
      <c r="C1341" s="3" t="str">
        <f>"靱随筆 / 権道米仲著 ; 1-3 - 3.--  西村源六."</f>
        <v>靱随筆 / 権道米仲著 ; 1-3 - 3.--  西村源六.</v>
      </c>
    </row>
    <row r="1342" spans="1:3" ht="11.25">
      <c r="A1342" s="3" t="str">
        <f>"911.3/280//MASAOKA"</f>
        <v>911.3/280//MASAOKA</v>
      </c>
      <c r="B1342" s="3">
        <f>""</f>
      </c>
      <c r="C1342" s="3" t="str">
        <f>"後菊集 / [玉屑編].-- 菊舎太兵衛; [享和3(1803)年刊]."</f>
        <v>後菊集 / [玉屑編].-- 菊舎太兵衛; [享和3(1803)年刊].</v>
      </c>
    </row>
    <row r="1343" spans="1:3" ht="11.25">
      <c r="A1343" s="3" t="str">
        <f>"911.3/281//MASAOKA"</f>
        <v>911.3/281//MASAOKA</v>
      </c>
      <c r="B1343" s="3" t="str">
        <f>"全"</f>
        <v>全</v>
      </c>
      <c r="C1343" s="3" t="str">
        <f>"卯の花衣集 / 耽楽亭撰 ; 全.-- [出版者不明]; [出版年不明]."</f>
        <v>卯の花衣集 / 耽楽亭撰 ; 全.-- [出版者不明]; [出版年不明].</v>
      </c>
    </row>
    <row r="1344" spans="1:3" ht="11.25">
      <c r="A1344" s="3" t="str">
        <f>"911.3/282//MASAOKA"</f>
        <v>911.3/282//MASAOKA</v>
      </c>
      <c r="B1344" s="3">
        <f>""</f>
      </c>
      <c r="C1344" s="3" t="str">
        <f>"雨花庵兼題発句集 / [抱一編].-- [製作者不明]; [文政7-11(1824-1828)年]写."</f>
        <v>雨花庵兼題発句集 / [抱一編].-- [製作者不明]; [文政7-11(1824-1828)年]写.</v>
      </c>
    </row>
    <row r="1345" spans="1:3" ht="11.25">
      <c r="A1345" s="3" t="str">
        <f>"911.3/283//MASAOKA"</f>
        <v>911.3/283//MASAOKA</v>
      </c>
      <c r="B1345" s="3">
        <f>""</f>
      </c>
      <c r="C1345" s="3" t="str">
        <f>"竹の友 : 二世宗瑞遺稿 / 宗瑞(二世)[著].-- 上村芦川; [天明7(1787)年1月成立]."</f>
        <v>竹の友 : 二世宗瑞遺稿 / 宗瑞(二世)[著].-- 上村芦川; [天明7(1787)年1月成立].</v>
      </c>
    </row>
    <row r="1346" spans="1:3" ht="11.25">
      <c r="A1346" s="3" t="str">
        <f>"911.3/284//MASAOKA"</f>
        <v>911.3/284//MASAOKA</v>
      </c>
      <c r="B1346" s="3" t="str">
        <f>"完"</f>
        <v>完</v>
      </c>
      <c r="C1346" s="3" t="str">
        <f>"俳諧画賛襍 / 渭浜庵蛙水編 ; 完.-- [出版者不明]; [出版年不明]."</f>
        <v>俳諧画賛襍 / 渭浜庵蛙水編 ; 完.-- [出版者不明]; [出版年不明].</v>
      </c>
    </row>
    <row r="1347" spans="1:3" ht="11.25">
      <c r="A1347" s="3" t="str">
        <f>"911.3/285//MASAOKA"</f>
        <v>911.3/285//MASAOKA</v>
      </c>
      <c r="B1347" s="3">
        <f>""</f>
      </c>
      <c r="C1347" s="3" t="str">
        <f>"花袋 / [鞠塢編].-- 秋田屋太右衛門; [天保1(1830)年刊]."</f>
        <v>花袋 / [鞠塢編].-- 秋田屋太右衛門; [天保1(1830)年刊].</v>
      </c>
    </row>
    <row r="1348" spans="1:3" ht="11.25">
      <c r="A1348" s="3" t="str">
        <f>"911.3/286/1/MASAOKA"</f>
        <v>911.3/286/1/MASAOKA</v>
      </c>
      <c r="B1348" s="3" t="str">
        <f>"上"</f>
        <v>上</v>
      </c>
      <c r="C1348" s="3" t="str">
        <f>"桜道俳諧百韻 / [著者不明] ; 上.-- [出版者不明]; 元文5(1740)年8月中旬成立."</f>
        <v>桜道俳諧百韻 / [著者不明] ; 上.-- [出版者不明]; 元文5(1740)年8月中旬成立.</v>
      </c>
    </row>
    <row r="1349" spans="1:3" ht="11.25">
      <c r="A1349" s="3" t="str">
        <f>"911.3/287//MASAOKA"</f>
        <v>911.3/287//MASAOKA</v>
      </c>
      <c r="B1349" s="3">
        <f>""</f>
      </c>
      <c r="C1349" s="3" t="str">
        <f>"深川出世稲荷.永代奉額句合 / 雪庵編.-- [出版者不明]; [出版年不明]."</f>
        <v>深川出世稲荷.永代奉額句合 / 雪庵編.-- [出版者不明]; [出版年不明].</v>
      </c>
    </row>
    <row r="1350" spans="1:3" ht="11.25">
      <c r="A1350" s="3" t="str">
        <f>"911.3/288//MASAOKA"</f>
        <v>911.3/288//MASAOKA</v>
      </c>
      <c r="B1350" s="3">
        <f>""</f>
      </c>
      <c r="C1350" s="3" t="str">
        <f>"草一庵上京帰杖待請句合 / 岱青,巵山,梅叟編.-- [出版者不明]; [弘化3(1846)年刊]."</f>
        <v>草一庵上京帰杖待請句合 / 岱青,巵山,梅叟編.-- [出版者不明]; [弘化3(1846)年刊].</v>
      </c>
    </row>
    <row r="1351" spans="1:3" ht="11.25">
      <c r="A1351" s="3" t="str">
        <f>"911.3/289//MASAOKA"</f>
        <v>911.3/289//MASAOKA</v>
      </c>
      <c r="B1351" s="3">
        <f>""</f>
      </c>
      <c r="C1351" s="3" t="str">
        <f>"年籠春冬三句合[ほか2編] / [著者不明].-- [出版者不明]; 弘化3(1845)年春刊."</f>
        <v>年籠春冬三句合[ほか2編] / [著者不明].-- [出版者不明]; 弘化3(1845)年春刊.</v>
      </c>
    </row>
    <row r="1352" spans="1:3" ht="11.25">
      <c r="A1352" s="3" t="str">
        <f>"911.3/290//MASAOKA"</f>
        <v>911.3/290//MASAOKA</v>
      </c>
      <c r="B1352" s="3">
        <f>""</f>
      </c>
      <c r="C1352" s="3" t="str">
        <f>"風流曾春季句集 / 直井朝太郎編.-- 直井朝太郎; 明治22(1889)年3月."</f>
        <v>風流曾春季句集 / 直井朝太郎編.-- 直井朝太郎; 明治22(1889)年3月.</v>
      </c>
    </row>
    <row r="1353" spans="1:3" ht="11.25">
      <c r="A1353" s="3" t="str">
        <f>"911.3/291//MASAOKA"</f>
        <v>911.3/291//MASAOKA</v>
      </c>
      <c r="B1353" s="3">
        <f>""</f>
      </c>
      <c r="C1353" s="3" t="str">
        <f>"歌妓廿四時 / 猫々道人魯叟編.-- [出版者不明]; 明治16(1883)年9月."</f>
        <v>歌妓廿四時 / 猫々道人魯叟編.-- [出版者不明]; 明治16(1883)年9月.</v>
      </c>
    </row>
    <row r="1354" spans="1:3" ht="11.25">
      <c r="A1354" s="3" t="str">
        <f>"911.3/291/1/MASAOKA"</f>
        <v>911.3/291/1/MASAOKA</v>
      </c>
      <c r="B1354" s="3" t="str">
        <f>"上"</f>
        <v>上</v>
      </c>
      <c r="C1354" s="3" t="str">
        <f>"奥細道菅菰抄 / 高橋梨一編 ; 上・下, 上, 下.-- 橘屋治兵衛[ほか3軒]; 安永7(1778)年8月."</f>
        <v>奥細道菅菰抄 / 高橋梨一編 ; 上・下, 上, 下.-- 橘屋治兵衛[ほか3軒]; 安永7(1778)年8月.</v>
      </c>
    </row>
    <row r="1355" spans="1:3" ht="11.25">
      <c r="A1355" s="3" t="str">
        <f>"911.3/291/2/MASAOKA"</f>
        <v>911.3/291/2/MASAOKA</v>
      </c>
      <c r="B1355" s="3" t="str">
        <f>"下"</f>
        <v>下</v>
      </c>
      <c r="C1355" s="3" t="str">
        <f>"奥細道菅菰抄 / 高橋梨一編 ; 上・下, 上, 下.-- 橘屋治兵衛[ほか3軒]; 安永7(1778)年8月."</f>
        <v>奥細道菅菰抄 / 高橋梨一編 ; 上・下, 上, 下.-- 橘屋治兵衛[ほか3軒]; 安永7(1778)年8月.</v>
      </c>
    </row>
    <row r="1356" spans="1:3" ht="11.25">
      <c r="A1356" s="3" t="str">
        <f>"911.3/292//MASAOKA"</f>
        <v>911.3/292//MASAOKA</v>
      </c>
      <c r="B1356" s="3">
        <f>""</f>
      </c>
      <c r="C1356" s="3" t="str">
        <f>"[芝翫追善] / [静軒撰].-- [出版者不明]; [出版年不明]."</f>
        <v>[芝翫追善] / [静軒撰].-- [出版者不明]; [出版年不明].</v>
      </c>
    </row>
    <row r="1357" spans="1:3" ht="11.25">
      <c r="A1357" s="3" t="str">
        <f>"911.3/293//MASAOKA"</f>
        <v>911.3/293//MASAOKA</v>
      </c>
      <c r="B1357" s="3" t="str">
        <f>"全"</f>
        <v>全</v>
      </c>
      <c r="C1357" s="3" t="str">
        <f>"[俳諧画集] / [著者不明] ; 全.-- [出版者不明]; [出版年不明]."</f>
        <v>[俳諧画集] / [著者不明] ; 全.-- [出版者不明]; [出版年不明].</v>
      </c>
    </row>
    <row r="1358" spans="1:3" ht="11.25">
      <c r="A1358" s="3" t="str">
        <f>"911.3/294//MASAOKA"</f>
        <v>911.3/294//MASAOKA</v>
      </c>
      <c r="B1358" s="3">
        <f>""</f>
      </c>
      <c r="C1358" s="3" t="str">
        <f>"滑[ケイ]太平記 / [北藤浮生著].-- [出版者不明]; [延宝・天和年間(1673-1683)]."</f>
        <v>滑[ケイ]太平記 / [北藤浮生著].-- [出版者不明]; [延宝・天和年間(1673-1683)].</v>
      </c>
    </row>
    <row r="1359" spans="1:3" ht="11.25">
      <c r="A1359" s="3" t="str">
        <f>"911.3/295//MASAOKA"</f>
        <v>911.3/295//MASAOKA</v>
      </c>
      <c r="B1359" s="3">
        <f>""</f>
      </c>
      <c r="C1359" s="3" t="str">
        <f>"蛙鼓 / 聴蛙亭水落露石著 水落京二編.-- [出版者不明]; 大正8(1919)年冬跋."</f>
        <v>蛙鼓 / 聴蛙亭水落露石著 水落京二編.-- [出版者不明]; 大正8(1919)年冬跋.</v>
      </c>
    </row>
    <row r="1360" spans="1:3" ht="11.25">
      <c r="A1360" s="3" t="str">
        <f>"911.3/296/1/MASAOKA"</f>
        <v>911.3/296/1/MASAOKA</v>
      </c>
      <c r="B1360" s="3" t="str">
        <f>"上"</f>
        <v>上</v>
      </c>
      <c r="C1360" s="3" t="str">
        <f>"枯尾華 / [其角] ; 上・下, 上, 下.-- 井筒屋庄兵衛; [製作年不明]."</f>
        <v>枯尾華 / [其角] ; 上・下, 上, 下.-- 井筒屋庄兵衛; [製作年不明].</v>
      </c>
    </row>
    <row r="1361" spans="1:3" ht="11.25">
      <c r="A1361" s="3" t="str">
        <f>"911.3/296/2/MASAOKA"</f>
        <v>911.3/296/2/MASAOKA</v>
      </c>
      <c r="B1361" s="3" t="str">
        <f>"下"</f>
        <v>下</v>
      </c>
      <c r="C1361" s="3" t="str">
        <f>"枯尾華 / [其角] ; 上・下, 上, 下.-- 井筒屋庄兵衛; [製作年不明]."</f>
        <v>枯尾華 / [其角] ; 上・下, 上, 下.-- 井筒屋庄兵衛; [製作年不明].</v>
      </c>
    </row>
    <row r="1362" spans="1:3" ht="11.25">
      <c r="A1362" s="3" t="str">
        <f>"911.3/297//MASAOKA"</f>
        <v>911.3/297//MASAOKA</v>
      </c>
      <c r="B1362" s="3">
        <f>""</f>
      </c>
      <c r="C1362" s="3" t="str">
        <f>"俳諧秘伝うやむやのせき / [著者不明].-- [製作者不明]; 明治12(1879)2月[写]."</f>
        <v>俳諧秘伝うやむやのせき / [著者不明].-- [製作者不明]; 明治12(1879)2月[写].</v>
      </c>
    </row>
    <row r="1363" spans="1:3" ht="11.25">
      <c r="A1363" s="3" t="str">
        <f>"911.3/298//MASAOKA"</f>
        <v>911.3/298//MASAOKA</v>
      </c>
      <c r="B1363" s="3">
        <f>""</f>
      </c>
      <c r="C1363" s="3" t="str">
        <f>"二弟準縄 / 摩訶窓珪山[著].-- [製作者不明]; 安永2(1773)年2月序."</f>
        <v>二弟準縄 / 摩訶窓珪山[著].-- [製作者不明]; 安永2(1773)年2月序.</v>
      </c>
    </row>
    <row r="1364" spans="1:3" ht="11.25">
      <c r="A1364" s="3" t="str">
        <f>"911.3/299//MASAOKA"</f>
        <v>911.3/299//MASAOKA</v>
      </c>
      <c r="B1364" s="3">
        <f>""</f>
      </c>
      <c r="C1364" s="3" t="str">
        <f>"俳諧一万集 / 野口竹次郎編.-- 博文館; 明治24(1891)年4月."</f>
        <v>俳諧一万集 / 野口竹次郎編.-- 博文館; 明治24(1891)年4月.</v>
      </c>
    </row>
    <row r="1365" spans="1:3" ht="11.25">
      <c r="A1365" s="3" t="str">
        <f>"911.3/300//MASAOKA"</f>
        <v>911.3/300//MASAOKA</v>
      </c>
      <c r="B1365" s="3">
        <f>""</f>
      </c>
      <c r="C1365" s="3" t="str">
        <f>"盃合 / [大黒庵(奇淵)].-- [出版者不明]; 文政1(1818)年8月跋刊."</f>
        <v>盃合 / [大黒庵(奇淵)].-- [出版者不明]; 文政1(1818)年8月跋刊.</v>
      </c>
    </row>
    <row r="1366" spans="1:3" ht="11.25">
      <c r="A1366" s="3" t="str">
        <f>"911.3/301//MASAOKA"</f>
        <v>911.3/301//MASAOKA</v>
      </c>
      <c r="B1366" s="3">
        <f>""</f>
      </c>
      <c r="C1366" s="3" t="str">
        <f>"貝合 / [南井編].-- [出版者不明]; 文正3(1820)年跋刊."</f>
        <v>貝合 / [南井編].-- [出版者不明]; 文正3(1820)年跋刊.</v>
      </c>
    </row>
    <row r="1367" spans="1:3" ht="11.25">
      <c r="A1367" s="3" t="str">
        <f>"911.4/1//MASAOKA"</f>
        <v>911.4/1//MASAOKA</v>
      </c>
      <c r="B1367" s="3">
        <f>""</f>
      </c>
      <c r="C1367" s="3" t="str">
        <f>"俳風柳多留 / [呉陵軒可有ほか編].-- 金港堂菊屋幸三郎; [出版年不明]."</f>
        <v>俳風柳多留 / [呉陵軒可有ほか編].-- 金港堂菊屋幸三郎; [出版年不明].</v>
      </c>
    </row>
    <row r="1368" spans="1:3" ht="11.25">
      <c r="A1368" s="3" t="str">
        <f>"911.4/2//MASAOKA"</f>
        <v>911.4/2//MASAOKA</v>
      </c>
      <c r="B1368" s="3">
        <f>""</f>
      </c>
      <c r="C1368" s="3" t="str">
        <f>"俳風柳多留 / [呉陵軒可有ほか編].-- 金港堂菊屋幸三郎; [出版年不明]."</f>
        <v>俳風柳多留 / [呉陵軒可有ほか編].-- 金港堂菊屋幸三郎; [出版年不明].</v>
      </c>
    </row>
    <row r="1369" spans="1:3" ht="11.25">
      <c r="A1369" s="3" t="str">
        <f>"911.4/3//MASAOKA"</f>
        <v>911.4/3//MASAOKA</v>
      </c>
      <c r="B1369" s="3" t="str">
        <f>"3篇"</f>
        <v>3篇</v>
      </c>
      <c r="C1369" s="3" t="str">
        <f>"誹風やなぎだる / [呉陵軒可有ほか編] ; 3篇.-- 星雲堂花屋久次郎; 明和5(1768)年7月序."</f>
        <v>誹風やなぎだる / [呉陵軒可有ほか編] ; 3篇.-- 星雲堂花屋久次郎; 明和5(1768)年7月序.</v>
      </c>
    </row>
    <row r="1370" spans="1:3" ht="11.25">
      <c r="A1370" s="3" t="str">
        <f>"911.4/4//MASAOKA"</f>
        <v>911.4/4//MASAOKA</v>
      </c>
      <c r="B1370" s="3" t="str">
        <f>"92編"</f>
        <v>92編</v>
      </c>
      <c r="C1370" s="3" t="str">
        <f>"俳風柳多留 / [呉陵軒可有ほか編] ; 92編.-- [出版者不明]; 文政10(1827)年夏序."</f>
        <v>俳風柳多留 / [呉陵軒可有ほか編] ; 92編.-- [出版者不明]; 文政10(1827)年夏序.</v>
      </c>
    </row>
    <row r="1371" spans="1:3" ht="11.25">
      <c r="A1371" s="3" t="str">
        <f>"911.4/5//MASAOKA"</f>
        <v>911.4/5//MASAOKA</v>
      </c>
      <c r="B1371" s="3" t="str">
        <f>"2篇"</f>
        <v>2篇</v>
      </c>
      <c r="C1371" s="3" t="str">
        <f>"誹風家内喜多留 / [著者不明] ; 2篇.-- [出版者不明]; [出版年不明]."</f>
        <v>誹風家内喜多留 / [著者不明] ; 2篇.-- [出版者不明]; [出版年不明].</v>
      </c>
    </row>
    <row r="1372" spans="1:3" ht="11.25">
      <c r="A1372" s="3" t="str">
        <f>"911.4/6/1/MASAOKA"</f>
        <v>911.4/6/1/MASAOKA</v>
      </c>
      <c r="B1372" s="3" t="str">
        <f>"上巻"</f>
        <v>上巻</v>
      </c>
      <c r="C1372" s="3" t="str">
        <f>"茂り柳 / [著者不明] ; 上巻.-- 線耕堂; [嘉永1(1848)年刊]."</f>
        <v>茂り柳 / [著者不明] ; 上巻.-- 線耕堂; [嘉永1(1848)年刊].</v>
      </c>
    </row>
    <row r="1373" spans="1:3" ht="11.25">
      <c r="A1373" s="3" t="str">
        <f>"911.4/7/1/MASAOKA"</f>
        <v>911.4/7/1/MASAOKA</v>
      </c>
      <c r="B1373" s="3" t="str">
        <f>"上"</f>
        <v>上</v>
      </c>
      <c r="C1373" s="3" t="str">
        <f>"新撰狂句川柳五百題 / 榊原英吉編 旧邦堂欣愿校 ; 上・中・下 - 下.-- 北村孝治郎,此邨彦助; 明治14(1881)年7月刊."</f>
        <v>新撰狂句川柳五百題 / 榊原英吉編 旧邦堂欣愿校 ; 上・中・下 - 下.-- 北村孝治郎,此邨彦助; 明治14(1881)年7月刊.</v>
      </c>
    </row>
    <row r="1374" spans="1:3" ht="11.25">
      <c r="A1374" s="3" t="str">
        <f>"911.4/7/2/MASAOKA"</f>
        <v>911.4/7/2/MASAOKA</v>
      </c>
      <c r="B1374" s="3" t="str">
        <f>"中"</f>
        <v>中</v>
      </c>
      <c r="C1374" s="3" t="str">
        <f>"新撰狂句川柳五百題 / 榊原英吉編 旧邦堂欣愿校 ; 上・中・下 - 下.-- 北村孝治郎,此邨彦助; 明治14(1881)年7月刊."</f>
        <v>新撰狂句川柳五百題 / 榊原英吉編 旧邦堂欣愿校 ; 上・中・下 - 下.-- 北村孝治郎,此邨彦助; 明治14(1881)年7月刊.</v>
      </c>
    </row>
    <row r="1375" spans="1:3" ht="11.25">
      <c r="A1375" s="3" t="str">
        <f>"911.4/7/3/MASAOKA"</f>
        <v>911.4/7/3/MASAOKA</v>
      </c>
      <c r="B1375" s="3" t="str">
        <f>"下"</f>
        <v>下</v>
      </c>
      <c r="C1375" s="3" t="str">
        <f>"新撰狂句川柳五百題 / 榊原英吉編 旧邦堂欣愿校 ; 上・中・下 - 下.-- 北村孝治郎,此邨彦助; 明治14(1881)年7月刊."</f>
        <v>新撰狂句川柳五百題 / 榊原英吉編 旧邦堂欣愿校 ; 上・中・下 - 下.-- 北村孝治郎,此邨彦助; 明治14(1881)年7月刊.</v>
      </c>
    </row>
    <row r="1376" spans="1:3" ht="11.25">
      <c r="A1376" s="3" t="str">
        <f>"911.6/1/1/MASAOKA"</f>
        <v>911.6/1/1/MASAOKA</v>
      </c>
      <c r="B1376" s="3" t="str">
        <f>"[1巻]"</f>
        <v>[1巻]</v>
      </c>
      <c r="C1376" s="3" t="str">
        <f aca="true" t="shared" si="30" ref="C1376:C1381">"神楽催馬楽譜入文 / 橘守部撰 ; [1-6巻] - [6巻].-- [出版者不明]; 天保12(1841)年跋刊."</f>
        <v>神楽催馬楽譜入文 / 橘守部撰 ; [1-6巻] - [6巻].-- [出版者不明]; 天保12(1841)年跋刊.</v>
      </c>
    </row>
    <row r="1377" spans="1:3" ht="11.25">
      <c r="A1377" s="3" t="str">
        <f>"911.6/1/2/MASAOKA"</f>
        <v>911.6/1/2/MASAOKA</v>
      </c>
      <c r="B1377" s="3" t="str">
        <f>"[2巻]"</f>
        <v>[2巻]</v>
      </c>
      <c r="C1377" s="3" t="str">
        <f t="shared" si="30"/>
        <v>神楽催馬楽譜入文 / 橘守部撰 ; [1-6巻] - [6巻].-- [出版者不明]; 天保12(1841)年跋刊.</v>
      </c>
    </row>
    <row r="1378" spans="1:3" ht="11.25">
      <c r="A1378" s="3" t="str">
        <f>"911.6/1/3/MASAOKA"</f>
        <v>911.6/1/3/MASAOKA</v>
      </c>
      <c r="B1378" s="3" t="str">
        <f>"[3巻]"</f>
        <v>[3巻]</v>
      </c>
      <c r="C1378" s="3" t="str">
        <f t="shared" si="30"/>
        <v>神楽催馬楽譜入文 / 橘守部撰 ; [1-6巻] - [6巻].-- [出版者不明]; 天保12(1841)年跋刊.</v>
      </c>
    </row>
    <row r="1379" spans="1:3" ht="11.25">
      <c r="A1379" s="3" t="str">
        <f>"911.6/2/1/MASAOKA"</f>
        <v>911.6/2/1/MASAOKA</v>
      </c>
      <c r="B1379" s="3" t="str">
        <f>"[4巻]"</f>
        <v>[4巻]</v>
      </c>
      <c r="C1379" s="3" t="str">
        <f t="shared" si="30"/>
        <v>神楽催馬楽譜入文 / 橘守部撰 ; [1-6巻] - [6巻].-- [出版者不明]; 天保12(1841)年跋刊.</v>
      </c>
    </row>
    <row r="1380" spans="1:3" ht="11.25">
      <c r="A1380" s="3" t="str">
        <f>"911.6/2/2/MASAOKA"</f>
        <v>911.6/2/2/MASAOKA</v>
      </c>
      <c r="B1380" s="3" t="str">
        <f>"[5巻]"</f>
        <v>[5巻]</v>
      </c>
      <c r="C1380" s="3" t="str">
        <f t="shared" si="30"/>
        <v>神楽催馬楽譜入文 / 橘守部撰 ; [1-6巻] - [6巻].-- [出版者不明]; 天保12(1841)年跋刊.</v>
      </c>
    </row>
    <row r="1381" spans="1:3" ht="11.25">
      <c r="A1381" s="3" t="str">
        <f>"911.6/2/3/MASAOKA"</f>
        <v>911.6/2/3/MASAOKA</v>
      </c>
      <c r="B1381" s="3" t="str">
        <f>"[6巻]"</f>
        <v>[6巻]</v>
      </c>
      <c r="C1381" s="3" t="str">
        <f t="shared" si="30"/>
        <v>神楽催馬楽譜入文 / 橘守部撰 ; [1-6巻] - [6巻].-- [出版者不明]; 天保12(1841)年跋刊.</v>
      </c>
    </row>
    <row r="1382" spans="1:3" ht="11.25">
      <c r="A1382" s="3" t="str">
        <f>"911.6/3/1/MASAOKA"</f>
        <v>911.6/3/1/MASAOKA</v>
      </c>
      <c r="B1382" s="3" t="str">
        <f>"上"</f>
        <v>上</v>
      </c>
      <c r="C1382" s="3" t="str">
        <f>"東遊歌 / [著者不明] ; 上・下, 上, 下.-- [製作者不明]; [製作年不明]."</f>
        <v>東遊歌 / [著者不明] ; 上・下, 上, 下.-- [製作者不明]; [製作年不明].</v>
      </c>
    </row>
    <row r="1383" spans="1:3" ht="11.25">
      <c r="A1383" s="3" t="str">
        <f>"911.6/3/2/MASAOKA"</f>
        <v>911.6/3/2/MASAOKA</v>
      </c>
      <c r="B1383" s="3" t="str">
        <f>"下"</f>
        <v>下</v>
      </c>
      <c r="C1383" s="3" t="str">
        <f>"東遊歌 / [著者不明] ; 上・下, 上, 下.-- [製作者不明]; [製作年不明]."</f>
        <v>東遊歌 / [著者不明] ; 上・下, 上, 下.-- [製作者不明]; [製作年不明].</v>
      </c>
    </row>
    <row r="1384" spans="1:3" ht="11.25">
      <c r="A1384" s="3" t="str">
        <f>"911.6/4//MASAOKA"</f>
        <v>911.6/4//MASAOKA</v>
      </c>
      <c r="B1384" s="3">
        <f>""</f>
      </c>
      <c r="C1384" s="3" t="str">
        <f>"新板はやり唄じゃんじゃかぶし / 古琴典民.-- 三ツ木平板; [出版年不明]."</f>
        <v>新板はやり唄じゃんじゃかぶし / 古琴典民.-- 三ツ木平板; [出版年不明].</v>
      </c>
    </row>
    <row r="1385" spans="1:3" ht="11.25">
      <c r="A1385" s="3" t="str">
        <f>"911.6/5//MASAOKA"</f>
        <v>911.6/5//MASAOKA</v>
      </c>
      <c r="B1385" s="3">
        <f>""</f>
      </c>
      <c r="C1385" s="3" t="str">
        <f>"台湾歴史歌 / 関口隆正著.-- 金昌堂; 明治33(1900)年4月."</f>
        <v>台湾歴史歌 / 関口隆正著.-- 金昌堂; 明治33(1900)年4月.</v>
      </c>
    </row>
    <row r="1386" spans="1:3" ht="11.25">
      <c r="A1386" s="3" t="str">
        <f>"912.3/1//MASAOKA"</f>
        <v>912.3/1//MASAOKA</v>
      </c>
      <c r="B1386" s="3">
        <f>""</f>
      </c>
      <c r="C1386" s="3" t="str">
        <f>"下懸謡 / [著者不明].-- 万屋清兵衛; 享保4(1719)年5月."</f>
        <v>下懸謡 / [著者不明].-- 万屋清兵衛; 享保4(1719)年5月.</v>
      </c>
    </row>
    <row r="1387" spans="1:3" ht="11.25">
      <c r="A1387" s="3" t="str">
        <f>"912.3/2//MASAOKA"</f>
        <v>912.3/2//MASAOKA</v>
      </c>
      <c r="B1387" s="3">
        <f>""</f>
      </c>
      <c r="C1387" s="3" t="str">
        <f>"章句改正当流小うたひ / 吉田金兵衛.-- 吉田金兵衛; 明治18(1885)年9月."</f>
        <v>章句改正当流小うたひ / 吉田金兵衛.-- 吉田金兵衛; 明治18(1885)年9月.</v>
      </c>
    </row>
    <row r="1388" spans="1:3" ht="11.25">
      <c r="A1388" s="3" t="str">
        <f>"912.3/3/1/MASAOKA"</f>
        <v>912.3/3/1/MASAOKA</v>
      </c>
      <c r="B1388" s="3">
        <f>""</f>
      </c>
      <c r="C1388" s="3" t="str">
        <f>"高砂 . とも長 . 井筒 . くらま天狗 . 百まん / [著者不明].-- 野田弥兵衛; 寛文9(1669)年9月刊."</f>
        <v>高砂 . とも長 . 井筒 . くらま天狗 . 百まん / [著者不明].-- 野田弥兵衛; 寛文9(1669)年9月刊.</v>
      </c>
    </row>
    <row r="1389" spans="1:3" ht="11.25">
      <c r="A1389" s="3" t="str">
        <f>"912.3/3/2/MASAOKA"</f>
        <v>912.3/3/2/MASAOKA</v>
      </c>
      <c r="B1389" s="3">
        <f>""</f>
      </c>
      <c r="C1389" s="3" t="str">
        <f>"養老 . やしま . 源氏供養 . 山うは . 角田河 / [著者不明].-- 野田弥兵衛; 寛文9(1669)年9月刊."</f>
        <v>養老 . やしま . 源氏供養 . 山うは . 角田河 / [著者不明].-- 野田弥兵衛; 寛文9(1669)年9月刊.</v>
      </c>
    </row>
    <row r="1390" spans="1:3" ht="11.25">
      <c r="A1390" s="3" t="str">
        <f>"912.3/3/3/MASAOKA"</f>
        <v>912.3/3/3/MASAOKA</v>
      </c>
      <c r="B1390" s="3">
        <f>""</f>
      </c>
      <c r="C1390" s="3" t="str">
        <f>"呉服 . 女郎花 . 松風 . 安宅 . 唐船 / [著者不明].-- 野田弥兵衛; 寛文9(1669)年9月刊."</f>
        <v>呉服 . 女郎花 . 松風 . 安宅 . 唐船 / [著者不明].-- 野田弥兵衛; 寛文9(1669)年9月刊.</v>
      </c>
    </row>
    <row r="1391" spans="1:3" ht="11.25">
      <c r="A1391" s="3" t="str">
        <f>"912.3/3/4/MASAOKA"</f>
        <v>912.3/3/4/MASAOKA</v>
      </c>
      <c r="B1391" s="3">
        <f>""</f>
      </c>
      <c r="C1391" s="3" t="str">
        <f>"鵜の羽 . もり久 . 定家 . 鵺 . 二人静 / [著者不明].-- 野田弥兵衛; 寛文9(1669)年9月刊."</f>
        <v>鵜の羽 . もり久 . 定家 . 鵺 . 二人静 / [著者不明].-- 野田弥兵衛; 寛文9(1669)年9月刊.</v>
      </c>
    </row>
    <row r="1392" spans="1:3" ht="11.25">
      <c r="A1392" s="3" t="str">
        <f>"912.3/3/5/MASAOKA"</f>
        <v>912.3/3/5/MASAOKA</v>
      </c>
      <c r="B1392" s="3">
        <f>""</f>
      </c>
      <c r="C1392" s="3" t="str">
        <f>"竹生嶋 . 実盛 . 玉かつら . 善界 . 班女 / [著者不明].-- 野田弥兵衛; 寛文9(1669)年9月刊."</f>
        <v>竹生嶋 . 実盛 . 玉かつら . 善界 . 班女 / [著者不明].-- 野田弥兵衛; 寛文9(1669)年9月刊.</v>
      </c>
    </row>
    <row r="1393" spans="1:3" ht="11.25">
      <c r="A1393" s="3" t="str">
        <f>"912.3/3/6/MASAOKA"</f>
        <v>912.3/3/6/MASAOKA</v>
      </c>
      <c r="B1393" s="3">
        <f>""</f>
      </c>
      <c r="C1393" s="3" t="str">
        <f>"白楽天 . 蝉丸 . 湯谷 . 通小町 . 黒塚 / [著者不明].-- 野田弥兵衛; 寛文9(1669)年9月刊."</f>
        <v>白楽天 . 蝉丸 . 湯谷 . 通小町 . 黒塚 / [著者不明].-- 野田弥兵衛; 寛文9(1669)年9月刊.</v>
      </c>
    </row>
    <row r="1394" spans="1:3" ht="11.25">
      <c r="A1394" s="3" t="str">
        <f>"912.3/3/8/MASAOKA"</f>
        <v>912.3/3/8/MASAOKA</v>
      </c>
      <c r="B1394" s="3">
        <f>""</f>
      </c>
      <c r="C1394" s="3" t="str">
        <f>"氷室 . 兼平 . はせを . 大会 . たつた / [著者不明].-- 野田弥兵衛; 寛文9(1669)年9月刊."</f>
        <v>氷室 . 兼平 . はせを . 大会 . たつた / [著者不明].-- 野田弥兵衛; 寛文9(1669)年9月刊.</v>
      </c>
    </row>
    <row r="1395" spans="1:3" ht="11.25">
      <c r="A1395" s="3" t="str">
        <f>"912.3/3/9/MASAOKA"</f>
        <v>912.3/3/9/MASAOKA</v>
      </c>
      <c r="B1395" s="3">
        <f>""</f>
      </c>
      <c r="C1395" s="3" t="str">
        <f>"玉の井 . より政 . 千手重衡 . あこき . 自然居士 / [著者不明].-- 野田弥兵衛; 寛文9(1669)年9月刊."</f>
        <v>玉の井 . より政 . 千手重衡 . あこき . 自然居士 / [著者不明].-- 野田弥兵衛; 寛文9(1669)年9月刊.</v>
      </c>
    </row>
    <row r="1396" spans="1:3" ht="11.25">
      <c r="A1396" s="3" t="str">
        <f>"912.3/3/10/MASAOKA"</f>
        <v>912.3/3/10/MASAOKA</v>
      </c>
      <c r="B1396" s="3">
        <f>""</f>
      </c>
      <c r="C1396" s="3" t="str">
        <f>"加茂 . 忠度 . 夕かほ . 俊寛 . 雲林院 / [著者不明].-- 野田弥兵衛; 寛文9(1669)年9月刊."</f>
        <v>加茂 . 忠度 . 夕かほ . 俊寛 . 雲林院 / [著者不明].-- 野田弥兵衛; 寛文9(1669)年9月刊.</v>
      </c>
    </row>
    <row r="1397" spans="1:3" ht="11.25">
      <c r="A1397" s="3" t="str">
        <f>"912.3/3/11/MASAOKA"</f>
        <v>912.3/3/11/MASAOKA</v>
      </c>
      <c r="B1397" s="3">
        <f>""</f>
      </c>
      <c r="C1397" s="3" t="str">
        <f>"白髭 . 田村 . 梅か枝 . 殺生石 . 咸陽宮 / [著者不明].-- 野田弥兵衛; 寛文9(1669)年9月刊."</f>
        <v>白髭 . 田村 . 梅か枝 . 殺生石 . 咸陽宮 / [著者不明].-- 野田弥兵衛; 寛文9(1669)年9月刊.</v>
      </c>
    </row>
    <row r="1398" spans="1:3" ht="11.25">
      <c r="A1398" s="3" t="str">
        <f>"912.3/3/12/MASAOKA"</f>
        <v>912.3/3/12/MASAOKA</v>
      </c>
      <c r="B1398" s="3">
        <f>""</f>
      </c>
      <c r="C1398" s="3" t="str">
        <f>"老松 . みちもり . 東北 . 景清 . さくら川 / [著者不明].-- 野田弥兵衛; 寛文9(1669)年9月刊."</f>
        <v>老松 . みちもり . 東北 . 景清 . さくら川 / [著者不明].-- 野田弥兵衛; 寛文9(1669)年9月刊.</v>
      </c>
    </row>
    <row r="1399" spans="1:3" ht="11.25">
      <c r="A1399" s="3" t="str">
        <f>"912.3/3/13/MASAOKA"</f>
        <v>912.3/3/13/MASAOKA</v>
      </c>
      <c r="B1399" s="3">
        <f>""</f>
      </c>
      <c r="C1399" s="3" t="str">
        <f>"右近 . 杜若 . 楊貴妃 . もみぢ狩 . うとふ / [著者不明].-- 野田弥兵衛; 寛文9(1669)年9月刊."</f>
        <v>右近 . 杜若 . 楊貴妃 . もみぢ狩 . うとふ / [著者不明].-- 野田弥兵衛; 寛文9(1669)年9月刊.</v>
      </c>
    </row>
    <row r="1400" spans="1:3" ht="11.25">
      <c r="A1400" s="3" t="str">
        <f>"912.3/3/14/MASAOKA"</f>
        <v>912.3/3/14/MASAOKA</v>
      </c>
      <c r="B1400" s="3">
        <f>""</f>
      </c>
      <c r="C1400" s="3" t="str">
        <f>"難波 . 清経 . 檜垣 . 卒都婆小町 . 当麻 / [著者不明].-- 野田弥兵衛; 寛文9(1669)年9月刊."</f>
        <v>難波 . 清経 . 檜垣 . 卒都婆小町 . 当麻 / [著者不明].-- 野田弥兵衛; 寛文9(1669)年9月刊.</v>
      </c>
    </row>
    <row r="1401" spans="1:3" ht="11.25">
      <c r="A1401" s="3" t="str">
        <f>"912.3/3/15/MASAOKA"</f>
        <v>912.3/3/15/MASAOKA</v>
      </c>
      <c r="B1401" s="3">
        <f>""</f>
      </c>
      <c r="C1401" s="3" t="str">
        <f>"三輪 . 舟はし . 采女 . 姨捨 . 船弁慶 / [著者不明].-- 野田弥兵衛; 寛文9(1669)年9月刊."</f>
        <v>三輪 . 舟はし . 采女 . 姨捨 . 船弁慶 / [著者不明].-- 野田弥兵衛; 寛文9(1669)年9月刊.</v>
      </c>
    </row>
    <row r="1402" spans="1:3" ht="11.25">
      <c r="A1402" s="3" t="str">
        <f>"912.3/3/17/MASAOKA"</f>
        <v>912.3/3/17/MASAOKA</v>
      </c>
      <c r="B1402" s="3">
        <f>""</f>
      </c>
      <c r="C1402" s="3" t="str">
        <f>"葛城 . 藤戸 . 江口 . 西行桜 . 柏崎 / [著者不明].-- 野田弥兵衛; 寛文9(1669)年9月刊."</f>
        <v>葛城 . 藤戸 . 江口 . 西行桜 . 柏崎 / [著者不明].-- 野田弥兵衛; 寛文9(1669)年9月刊.</v>
      </c>
    </row>
    <row r="1403" spans="1:3" ht="11.25">
      <c r="A1403" s="3" t="str">
        <f>"912.3/3/18/MASAOKA"</f>
        <v>912.3/3/18/MASAOKA</v>
      </c>
      <c r="B1403" s="3">
        <f>""</f>
      </c>
      <c r="C1403" s="3" t="str">
        <f>"皇帝 . 三井寺 . あふむ小町 . 小塩 . うかひ / [著者不明].-- 野田弥兵衛; 寛文9(1669)年9月刊."</f>
        <v>皇帝 . 三井寺 . あふむ小町 . 小塩 . うかひ / [著者不明].-- 野田弥兵衛; 寛文9(1669)年9月刊.</v>
      </c>
    </row>
    <row r="1404" spans="1:3" ht="11.25">
      <c r="A1404" s="3" t="str">
        <f>"912.3/3/19/MASAOKA"</f>
        <v>912.3/3/19/MASAOKA</v>
      </c>
      <c r="B1404" s="3">
        <f>""</f>
      </c>
      <c r="C1404" s="3" t="str">
        <f>"邯鄲 . 冨士太鼓 . 花筐 . 東岸居士 . 春日龍神 / [著者不明].-- 野田弥兵衛; 寛文9(1669)年9月刊."</f>
        <v>邯鄲 . 冨士太鼓 . 花筐 . 東岸居士 . 春日龍神 / [著者不明].-- 野田弥兵衛; 寛文9(1669)年9月刊.</v>
      </c>
    </row>
    <row r="1405" spans="1:3" ht="11.25">
      <c r="A1405" s="3" t="str">
        <f>"912.3/3/20/MASAOKA"</f>
        <v>912.3/3/20/MASAOKA</v>
      </c>
      <c r="B1405" s="3">
        <f>""</f>
      </c>
      <c r="C1405" s="3" t="str">
        <f>"海士 . 夜討曽我 . 仏の原 . 錦木 . とをる / [著者不明].-- 野田弥兵衛; 寛文9(1669)年9月刊."</f>
        <v>海士 . 夜討曽我 . 仏の原 . 錦木 . とをる / [著者不明].-- 野田弥兵衛; 寛文9(1669)年9月刊.</v>
      </c>
    </row>
    <row r="1406" spans="1:3" ht="11.25">
      <c r="A1406" s="3" t="str">
        <f>"912.3/4/2/MASAOKA"</f>
        <v>912.3/4/2/MASAOKA</v>
      </c>
      <c r="B1406" s="3">
        <f>""</f>
      </c>
      <c r="C1406" s="3" t="str">
        <f>"鶏たつた . 箙 . きぬた . 松山鏡 . 舞車 / [著者不明].-- 小佐治半左衛門; 天和2(1682)年3月刊."</f>
        <v>鶏たつた . 箙 . きぬた . 松山鏡 . 舞車 / [著者不明].-- 小佐治半左衛門; 天和2(1682)年3月刊.</v>
      </c>
    </row>
    <row r="1407" spans="1:3" ht="11.25">
      <c r="A1407" s="3" t="str">
        <f>"912.3/4/5/MASAOKA"</f>
        <v>912.3/4/5/MASAOKA</v>
      </c>
      <c r="B1407" s="3">
        <f>""</f>
      </c>
      <c r="C1407" s="3" t="str">
        <f>"佐保山 . 橋弁慶 . 身延 . 国栖 . 望月 / [著者不明].-- 小篠伝兵衛; 天和2(1682)年3月刊."</f>
        <v>佐保山 . 橋弁慶 . 身延 . 国栖 . 望月 / [著者不明].-- 小篠伝兵衛; 天和2(1682)年3月刊.</v>
      </c>
    </row>
    <row r="1408" spans="1:3" ht="11.25">
      <c r="A1408" s="3" t="str">
        <f>"912.3/4/7/MASAOKA"</f>
        <v>912.3/4/7/MASAOKA</v>
      </c>
      <c r="B1408" s="3">
        <f>""</f>
      </c>
      <c r="C1408" s="3" t="str">
        <f>"絵馬 . 哥うら . 朝貌 . 池にへ . 一角仙人 / [著者不明].-- 小篠伝兵衛; 天和2(1682)年3月刊."</f>
        <v>絵馬 . 哥うら . 朝貌 . 池にへ . 一角仙人 / [著者不明].-- 小篠伝兵衛; 天和2(1682)年3月刊.</v>
      </c>
    </row>
    <row r="1409" spans="1:3" ht="11.25">
      <c r="A1409" s="3" t="str">
        <f>"912.3/4/8/MASAOKA"</f>
        <v>912.3/4/8/MASAOKA</v>
      </c>
      <c r="B1409" s="3">
        <f>""</f>
      </c>
      <c r="C1409" s="3" t="str">
        <f>"葛城 . 七騎落 . 水無瀬 . 大江山 . かね引 / [著者不明].-- 小篠伝兵衛; 天和2(1682)年3月刊."</f>
        <v>葛城 . 七騎落 . 水無瀬 . 大江山 . かね引 / [著者不明].-- 小篠伝兵衛; 天和2(1682)年3月刊.</v>
      </c>
    </row>
    <row r="1410" spans="1:3" ht="11.25">
      <c r="A1410" s="3" t="str">
        <f>"912.3/4/10/MASAOKA"</f>
        <v>912.3/4/10/MASAOKA</v>
      </c>
      <c r="B1410" s="3">
        <f>""</f>
      </c>
      <c r="C1410" s="3" t="str">
        <f>"金札 . かたな . よし野静 . 綱 . 花月 / [著者不明].-- 小篠伝兵衛; 天和2(1682)年3月刊."</f>
        <v>金札 . かたな . よし野静 . 綱 . 花月 / [著者不明].-- 小篠伝兵衛; 天和2(1682)年3月刊.</v>
      </c>
    </row>
    <row r="1411" spans="1:3" ht="11.25">
      <c r="A1411" s="3" t="str">
        <f>"912.3/4/11/MASAOKA"</f>
        <v>912.3/4/11/MASAOKA</v>
      </c>
      <c r="B1411" s="3">
        <f>""</f>
      </c>
      <c r="C1411" s="3" t="str">
        <f>"寝覚 . 春近 . 雨月 . かつらき天狗 . 輪蔵 / [著者不明].-- 小篠伝兵衛; 天和2(1682)年3月刊."</f>
        <v>寝覚 . 春近 . 雨月 . かつらき天狗 . 輪蔵 / [著者不明].-- 小篠伝兵衛; 天和2(1682)年3月刊.</v>
      </c>
    </row>
    <row r="1412" spans="1:3" ht="11.25">
      <c r="A1412" s="3" t="str">
        <f>"912.3/4/12/MASAOKA"</f>
        <v>912.3/4/12/MASAOKA</v>
      </c>
      <c r="B1412" s="3">
        <f>""</f>
      </c>
      <c r="C1412" s="3" t="str">
        <f>"和布刈 . 正尊 . 祇王 . 舎利 . 鳥追 / [著者不明].-- 小篠伝兵衛; 天和2(1682)年3月刊."</f>
        <v>和布刈 . 正尊 . 祇王 . 舎利 . 鳥追 / [著者不明].-- 小篠伝兵衛; 天和2(1682)年3月刊.</v>
      </c>
    </row>
    <row r="1413" spans="1:3" ht="11.25">
      <c r="A1413" s="3" t="str">
        <f>"912.3/4/13/MASAOKA"</f>
        <v>912.3/4/13/MASAOKA</v>
      </c>
      <c r="B1413" s="3">
        <f>""</f>
      </c>
      <c r="C1413" s="3" t="str">
        <f>"西王母 . 錦戸 . 絃上 . 野もり . 土ぐるま / [著者不明].-- 小篠伝兵衛; 天和2(1682)年3月刊."</f>
        <v>西王母 . 錦戸 . 絃上 . 野もり . 土ぐるま / [著者不明].-- 小篠伝兵衛; 天和2(1682)年3月刊.</v>
      </c>
    </row>
    <row r="1414" spans="1:3" ht="11.25">
      <c r="A1414" s="3" t="str">
        <f>"912.3/4/14/MASAOKA"</f>
        <v>912.3/4/14/MASAOKA</v>
      </c>
      <c r="B1414" s="3">
        <f>""</f>
      </c>
      <c r="C1414" s="3" t="str">
        <f>"泰山府君 . 感陽宮 . 須磨源氏 . 石橋 . 三笑 / [著者不明].-- 小篠伝兵衛; 天和2(1682)年3月刊."</f>
        <v>泰山府君 . 感陽宮 . 須磨源氏 . 石橋 . 三笑 / [著者不明].-- 小篠伝兵衛; 天和2(1682)年3月刊.</v>
      </c>
    </row>
    <row r="1415" spans="1:3" ht="11.25">
      <c r="A1415" s="3" t="str">
        <f>"912.3/4/15/MASAOKA"</f>
        <v>912.3/4/15/MASAOKA</v>
      </c>
      <c r="B1415" s="3">
        <f>""</f>
      </c>
      <c r="C1415" s="3" t="str">
        <f>"小鍛冶 . 壇風 . 照君 . 大仏供養 . 鉄輪 / [著者不明].-- 小篠伝兵衛; 天和2(1682)年3月刊."</f>
        <v>小鍛冶 . 壇風 . 照君 . 大仏供養 . 鉄輪 / [著者不明].-- 小篠伝兵衛; 天和2(1682)年3月刊.</v>
      </c>
    </row>
    <row r="1416" spans="1:3" ht="11.25">
      <c r="A1416" s="3" t="str">
        <f>"912.3/4/16/MASAOKA"</f>
        <v>912.3/4/16/MASAOKA</v>
      </c>
      <c r="B1416" s="3">
        <f>""</f>
      </c>
      <c r="C1416" s="3" t="str">
        <f>"放生川 . 摂待 . 雲雀山 . 現在鵺 . 鍾馗 / [著者不明].-- 小篠伝兵衛; 天和2(1682)年3月刊."</f>
        <v>放生川 . 摂待 . 雲雀山 . 現在鵺 . 鍾馗 / [著者不明].-- 小篠伝兵衛; 天和2(1682)年3月刊.</v>
      </c>
    </row>
    <row r="1417" spans="1:3" ht="11.25">
      <c r="A1417" s="3" t="str">
        <f>"912.3/4/17/MASAOKA"</f>
        <v>912.3/4/17/MASAOKA</v>
      </c>
      <c r="B1417" s="3">
        <f>""</f>
      </c>
      <c r="C1417" s="3" t="str">
        <f>"あらし山 . くまさか . 松虫 . 項羽 . 藤栄 / [著者不明].-- 小篠伝兵衛; 天和2(1682)年3月刊."</f>
        <v>あらし山 . くまさか . 松虫 . 項羽 . 藤栄 / [著者不明].-- 小篠伝兵衛; 天和2(1682)年3月刊.</v>
      </c>
    </row>
    <row r="1418" spans="1:3" ht="11.25">
      <c r="A1418" s="3" t="str">
        <f>"912.3/4/18/MASAOKA"</f>
        <v>912.3/4/18/MASAOKA</v>
      </c>
      <c r="B1418" s="3">
        <f>""</f>
      </c>
      <c r="C1418" s="3" t="str">
        <f>"大社 . 巴 . 護法 . 車僧 . 正儀世守 / [著者不明].-- 小篠伝兵衛; 天和2(1682)年3月刊."</f>
        <v>大社 . 巴 . 護法 . 車僧 . 正儀世守 / [著者不明].-- 小篠伝兵衛; 天和2(1682)年3月刊.</v>
      </c>
    </row>
    <row r="1419" spans="1:3" ht="11.25">
      <c r="A1419" s="3" t="str">
        <f>"912.3/4/19/MASAOKA"</f>
        <v>912.3/4/19/MASAOKA</v>
      </c>
      <c r="B1419" s="3">
        <f>""</f>
      </c>
      <c r="C1419" s="3" t="str">
        <f>"源太夫 . 生田敦盛 . 草子洗 . 土蜘蛛 . 竜虎 / [著者不明].-- 小篠伝兵衛; 天和2(1682)年3月刊."</f>
        <v>源太夫 . 生田敦盛 . 草子洗 . 土蜘蛛 . 竜虎 / [著者不明].-- 小篠伝兵衛; 天和2(1682)年3月刊.</v>
      </c>
    </row>
    <row r="1420" spans="1:3" ht="11.25">
      <c r="A1420" s="3" t="str">
        <f>"912.3/4/20/MASAOKA"</f>
        <v>912.3/4/20/MASAOKA</v>
      </c>
      <c r="B1420" s="3">
        <f>""</f>
      </c>
      <c r="C1420" s="3" t="str">
        <f>"松尾 . 木曽願書 . 三山 . 谷行 . 呂后 / [著者不明].-- 小篠伝兵衛; 天和2(1682)年3月刊."</f>
        <v>松尾 . 木曽願書 . 三山 . 谷行 . 呂后 / [著者不明].-- 小篠伝兵衛; 天和2(1682)年3月刊.</v>
      </c>
    </row>
    <row r="1421" spans="1:3" ht="11.25">
      <c r="A1421" s="3" t="str">
        <f>"912.3/5/1/MASAOKA"</f>
        <v>912.3/5/1/MASAOKA</v>
      </c>
      <c r="B1421" s="3">
        <f>""</f>
      </c>
      <c r="C1421" s="3" t="str">
        <f>"高砂.たむら.熊野.はん女.鵜飼 / [著者不明].-- 岡田三郎右衛門; 元禄8(1695)年9月刊."</f>
        <v>高砂.たむら.熊野.はん女.鵜飼 / [著者不明].-- 岡田三郎右衛門; 元禄8(1695)年9月刊.</v>
      </c>
    </row>
    <row r="1422" spans="1:3" ht="11.25">
      <c r="A1422" s="3" t="str">
        <f>"912.3/5/3/MASAOKA"</f>
        <v>912.3/5/3/MASAOKA</v>
      </c>
      <c r="B1422" s="3">
        <f>""</f>
      </c>
      <c r="C1422" s="3" t="str">
        <f>"老松.頼政.井筒.鉢木.羽衣 / [著者不明].-- 岡田三郎右衛門; 元禄8(1695)年9月刊."</f>
        <v>老松.頼政.井筒.鉢木.羽衣 / [著者不明].-- 岡田三郎右衛門; 元禄8(1695)年9月刊.</v>
      </c>
    </row>
    <row r="1423" spans="1:3" ht="11.25">
      <c r="A1423" s="3" t="str">
        <f>"912.3/5/4/MASAOKA"</f>
        <v>912.3/5/4/MASAOKA</v>
      </c>
      <c r="B1423" s="3">
        <f>""</f>
      </c>
      <c r="C1423" s="3" t="str">
        <f>"白楽天.さねもり.柏崎.とほる / [著者不明].-- 岡田三郎右衛門; 元禄8(1695)年9月刊."</f>
        <v>白楽天.さねもり.柏崎.とほる / [著者不明].-- 岡田三郎右衛門; 元禄8(1695)年9月刊.</v>
      </c>
    </row>
    <row r="1424" spans="1:3" ht="11.25">
      <c r="A1424" s="3" t="str">
        <f>"912.3/5/5/MASAOKA"</f>
        <v>912.3/5/5/MASAOKA</v>
      </c>
      <c r="B1424" s="3">
        <f>""</f>
      </c>
      <c r="C1424" s="3" t="str">
        <f>"養老.きよつね.采女.あふいの上.遊行柳 / [著者不明].-- 岡田三郎右衛門; 元禄8(1695)年9月刊."</f>
        <v>養老.きよつね.采女.あふいの上.遊行柳 / [著者不明].-- 岡田三郎右衛門; 元禄8(1695)年9月刊.</v>
      </c>
    </row>
    <row r="1425" spans="1:3" ht="11.25">
      <c r="A1425" s="3" t="str">
        <f>"912.3/5/6/MASAOKA"</f>
        <v>912.3/5/6/MASAOKA</v>
      </c>
      <c r="B1425" s="3">
        <f>""</f>
      </c>
      <c r="C1425" s="3" t="str">
        <f>"竹生嶋.朝長.おはすて.三井寺.あこき / [著者不明].-- 岡田三郎右衛門; 元禄8(1695)年9月刊."</f>
        <v>竹生嶋.朝長.おはすて.三井寺.あこき / [著者不明].-- 岡田三郎右衛門; 元禄8(1695)年9月刊.</v>
      </c>
    </row>
    <row r="1426" spans="1:3" ht="11.25">
      <c r="A1426" s="3" t="str">
        <f>"912.3/5/7/MASAOKA"</f>
        <v>912.3/5/7/MASAOKA</v>
      </c>
      <c r="B1426" s="3">
        <f>""</f>
      </c>
      <c r="C1426" s="3" t="str">
        <f>"志賀.ぬえ.小原御幸.紅葉狩.梅かえ / [著者不明].-- 岡田三郎右衛門; 元禄8(1695)年9月刊."</f>
        <v>志賀.ぬえ.小原御幸.紅葉狩.梅かえ / [著者不明].-- 岡田三郎右衛門; 元禄8(1695)年9月刊.</v>
      </c>
    </row>
    <row r="1427" spans="1:3" ht="11.25">
      <c r="A1427" s="3" t="str">
        <f>"912.3/5/8/MASAOKA"</f>
        <v>912.3/5/8/MASAOKA</v>
      </c>
      <c r="B1427" s="3">
        <f>""</f>
      </c>
      <c r="C1427" s="3" t="str">
        <f>"蟻通.たゝのり.楊貴妃.とくさ.藤戸 / [著者不明].-- 岡田三郎右衛門; 元禄8(1695)年9月刊."</f>
        <v>蟻通.たゝのり.楊貴妃.とくさ.藤戸 / [著者不明].-- 岡田三郎右衛門; 元禄8(1695)年9月刊.</v>
      </c>
    </row>
    <row r="1428" spans="1:3" ht="11.25">
      <c r="A1428" s="3" t="str">
        <f>"912.3/5/9/MASAOKA"</f>
        <v>912.3/5/9/MASAOKA</v>
      </c>
      <c r="B1428" s="3">
        <f>""</f>
      </c>
      <c r="C1428" s="3" t="str">
        <f>"玉の井.景清.かきつはた.安達原.たえま / [著者不明].-- 岡田三郎右衛門; 元禄8(1695)年9月刊."</f>
        <v>玉の井.景清.かきつはた.安達原.たえま / [著者不明].-- 岡田三郎右衛門; 元禄8(1695)年9月刊.</v>
      </c>
    </row>
    <row r="1429" spans="1:3" ht="11.25">
      <c r="A1429" s="3" t="str">
        <f>"912.3/5/10/MASAOKA"</f>
        <v>912.3/5/10/MASAOKA</v>
      </c>
      <c r="B1429" s="3">
        <f>""</f>
      </c>
      <c r="C1429" s="3" t="str">
        <f>"賀茂.俊寛.松かせ.西行桜.誓願寺 / [著者不明].-- 岡田三郎右衛門; 元禄8(1695)年9月刊."</f>
        <v>賀茂.俊寛.松かせ.西行桜.誓願寺 / [著者不明].-- 岡田三郎右衛門; 元禄8(1695)年9月刊.</v>
      </c>
    </row>
    <row r="1430" spans="1:3" ht="11.25">
      <c r="A1430" s="3" t="str">
        <f>"912.3/5/11/MASAOKA"</f>
        <v>912.3/5/11/MASAOKA</v>
      </c>
      <c r="B1430" s="3">
        <f>""</f>
      </c>
      <c r="C1430" s="3" t="str">
        <f>"くれは . 八嶋 . あふむ小町 . さくら川 . 東岸居士 / [著者不明].-- 岡田三郎右衛門; 元禄8(1695)年9月刊."</f>
        <v>くれは . 八嶋 . あふむ小町 . さくら川 . 東岸居士 / [著者不明].-- 岡田三郎右衛門; 元禄8(1695)年9月刊.</v>
      </c>
    </row>
    <row r="1431" spans="1:3" ht="11.25">
      <c r="A1431" s="3" t="str">
        <f>"912.3/5/12/MASAOKA"</f>
        <v>912.3/5/12/MASAOKA</v>
      </c>
      <c r="B1431" s="3">
        <f>""</f>
      </c>
      <c r="C1431" s="3" t="str">
        <f>"あま . 鞍馬天狗 . 定家 . 蝉丸 . 猩々 / [著者不明].-- 岡田三郎右衛門; 元禄8(1695)年9月刊."</f>
        <v>あま . 鞍馬天狗 . 定家 . 蝉丸 . 猩々 / [著者不明].-- 岡田三郎右衛門; 元禄8(1695)年9月刊.</v>
      </c>
    </row>
    <row r="1432" spans="1:3" ht="11.25">
      <c r="A1432" s="3" t="str">
        <f>"912.3/5/12a/MASAOKA"</f>
        <v>912.3/5/12a/MASAOKA</v>
      </c>
      <c r="B1432" s="3" t="str">
        <f>"12"</f>
        <v>12</v>
      </c>
      <c r="C1432" s="3" t="str">
        <f>"あま . 鞍馬天狗 . 定か . 蝉丸 . 猩々 / [著者不明] ; 12.-- 岡田三郎右衛門; 元禄8(1695)年9月刊."</f>
        <v>あま . 鞍馬天狗 . 定か . 蝉丸 . 猩々 / [著者不明] ; 12.-- 岡田三郎右衛門; 元禄8(1695)年9月刊.</v>
      </c>
    </row>
    <row r="1433" spans="1:3" ht="11.25">
      <c r="A1433" s="3" t="str">
        <f>"912.3/5/13/MASAOKA"</f>
        <v>912.3/5/13/MASAOKA</v>
      </c>
      <c r="B1433" s="3" t="str">
        <f>"13"</f>
        <v>13</v>
      </c>
      <c r="C1433" s="3" t="str">
        <f>"龍田 . あつもり . 夕かほ . すみた川 . うたう / [著者不明] ; 13.-- 岡田三郎右衛門; 元禄8(1695)年9月刊."</f>
        <v>龍田 . あつもり . 夕かほ . すみた川 . うたう / [著者不明] ; 13.-- 岡田三郎右衛門; 元禄8(1695)年9月刊.</v>
      </c>
    </row>
    <row r="1434" spans="1:3" ht="11.25">
      <c r="A1434" s="3" t="str">
        <f>"912.3/5/15/MASAOKA"</f>
        <v>912.3/5/15/MASAOKA</v>
      </c>
      <c r="B1434" s="3" t="str">
        <f>"15"</f>
        <v>15</v>
      </c>
      <c r="C1434" s="3" t="str">
        <f>"山姥 . みちもり . 檜垣 . 冨士太鼓 . おしほ / [著者不明] ; 15.-- 岡田三郎右衛門; 元禄8(1695)年9月刊."</f>
        <v>山姥 . みちもり . 檜垣 . 冨士太鼓 . おしほ / [著者不明] ; 15.-- 岡田三郎右衛門; 元禄8(1695)年9月刊.</v>
      </c>
    </row>
    <row r="1435" spans="1:3" ht="11.25">
      <c r="A1435" s="3" t="str">
        <f>"912.3/5/17/MASAOKA"</f>
        <v>912.3/5/17/MASAOKA</v>
      </c>
      <c r="B1435" s="3" t="str">
        <f>"17"</f>
        <v>17</v>
      </c>
      <c r="C1435" s="3" t="str">
        <f>"右近 . おみなへし . 関寺小町 . 二人しつか . 浮舟 / [著者不明] ; 17.-- 岡田三郎右衛門; 元禄8(1695)年9月刊."</f>
        <v>右近 . おみなへし . 関寺小町 . 二人しつか . 浮舟 / [著者不明] ; 17.-- 岡田三郎右衛門; 元禄8(1695)年9月刊.</v>
      </c>
    </row>
    <row r="1436" spans="1:3" ht="11.25">
      <c r="A1436" s="3" t="str">
        <f>"912.3/5/18/MASAOKA"</f>
        <v>912.3/5/18/MASAOKA</v>
      </c>
      <c r="B1436" s="3" t="str">
        <f>"18"</f>
        <v>18</v>
      </c>
      <c r="C1436" s="3" t="str">
        <f>"三輪 . あたか . 軒端梅 . にしき木 . 雲林院 / [著者不明] ; 18.-- 岡田三郎右衛門; 元禄8(1695)年9月刊."</f>
        <v>三輪 . あたか . 軒端梅 . にしき木 . 雲林院 / [著者不明] ; 18.-- 岡田三郎右衛門; 元禄8(1695)年9月刊.</v>
      </c>
    </row>
    <row r="1437" spans="1:3" ht="11.25">
      <c r="A1437" s="3" t="str">
        <f>"912.3/5/19/MASAOKA"</f>
        <v>912.3/5/19/MASAOKA</v>
      </c>
      <c r="B1437" s="3" t="str">
        <f>"19"</f>
        <v>19</v>
      </c>
      <c r="C1437" s="3" t="str">
        <f>"白髭 . もりひさ . 仏はら . 道成寺 . 唐船 / [著者不明] ; 19.-- 岡田三郎右衛門; 元禄8(1695)年9月刊."</f>
        <v>白髭 . もりひさ . 仏はら . 道成寺 . 唐船 / [著者不明] ; 19.-- 岡田三郎右衛門; 元禄8(1695)年9月刊.</v>
      </c>
    </row>
    <row r="1438" spans="1:3" ht="11.25">
      <c r="A1438" s="3" t="str">
        <f>"912.3/5/20/MASAOKA"</f>
        <v>912.3/5/20/MASAOKA</v>
      </c>
      <c r="B1438" s="3" t="str">
        <f>"20"</f>
        <v>20</v>
      </c>
      <c r="C1438" s="3" t="str">
        <f>"邯鄲 . 殺生石 . 野宮 . 百万 . 自然居士 / [著者不明] ; 20.-- 岡田三郎右衛門; 元禄8(1695)年9月刊."</f>
        <v>邯鄲 . 殺生石 . 野宮 . 百万 . 自然居士 / [著者不明] ; 20.-- 岡田三郎右衛門; 元禄8(1695)年9月刊.</v>
      </c>
    </row>
    <row r="1439" spans="1:3" ht="11.25">
      <c r="A1439" s="3" t="str">
        <f>"912.3/6/13/MASAOKA"</f>
        <v>912.3/6/13/MASAOKA</v>
      </c>
      <c r="B1439" s="3" t="str">
        <f>"13"</f>
        <v>13</v>
      </c>
      <c r="C1439" s="3" t="str">
        <f>"竜田 . 夜討曽我 . 夕顔 . 角田川 . 雲林院 / [著者不明] ; 13.-- 山本長兵衛; 正徳6(1716)年刊."</f>
        <v>竜田 . 夜討曽我 . 夕顔 . 角田川 . 雲林院 / [著者不明] ; 13.-- 山本長兵衛; 正徳6(1716)年刊.</v>
      </c>
    </row>
    <row r="1440" spans="1:3" ht="11.25">
      <c r="A1440" s="3" t="str">
        <f>"912.3/7//MASAOKA"</f>
        <v>912.3/7//MASAOKA</v>
      </c>
      <c r="B1440" s="3">
        <f>""</f>
      </c>
      <c r="C1440" s="3" t="str">
        <f>"龍田 . 敦盛 . 夕顔 . 隅田川 . 善知鳥 / [著者不明].-- 山本長兵衛; 延宝3(1675)年刊."</f>
        <v>龍田 . 敦盛 . 夕顔 . 隅田川 . 善知鳥 / [著者不明].-- 山本長兵衛; 延宝3(1675)年刊.</v>
      </c>
    </row>
    <row r="1441" spans="1:3" ht="11.25">
      <c r="A1441" s="3" t="str">
        <f>"912.3/8/5/MASAOKA"</f>
        <v>912.3/8/5/MASAOKA</v>
      </c>
      <c r="B1441" s="3" t="str">
        <f>"5"</f>
        <v>5</v>
      </c>
      <c r="C1441" s="3" t="str">
        <f>"鶴亀 . 春栄 . 砧 . 丹後物狂 . 車僧 / [著者不明] ; 5.-- 山本長兵衛; 元禄3(1690)年6月刊."</f>
        <v>鶴亀 . 春栄 . 砧 . 丹後物狂 . 車僧 / [著者不明] ; 5.-- 山本長兵衛; 元禄3(1690)年6月刊.</v>
      </c>
    </row>
    <row r="1442" spans="1:3" ht="11.25">
      <c r="A1442" s="3" t="str">
        <f>"912.3/8/6/MASAOKA"</f>
        <v>912.3/8/6/MASAOKA</v>
      </c>
      <c r="B1442" s="3" t="str">
        <f>"6"</f>
        <v>6</v>
      </c>
      <c r="C1442" s="3" t="str">
        <f>"寝覚 . 綱 . 須磨源氏 . 弱法師 . 大般若 / [著者不明] ; 6.-- 山本長兵衛; 元禄3(1690)年6月刊."</f>
        <v>寝覚 . 綱 . 須磨源氏 . 弱法師 . 大般若 / [著者不明] ; 6.-- 山本長兵衛; 元禄3(1690)年6月刊.</v>
      </c>
    </row>
    <row r="1443" spans="1:3" ht="11.25">
      <c r="A1443" s="3" t="str">
        <f>"912.3/9//MASAOKA"</f>
        <v>912.3/9//MASAOKA</v>
      </c>
      <c r="B1443" s="3">
        <f>""</f>
      </c>
      <c r="C1443" s="3" t="str">
        <f>"邯鄲 . 鉢木 . 天鼓 . 女郎花 . 融 / [著者不明].-- 利会屋; 元禄2(1689)年初冬刊."</f>
        <v>邯鄲 . 鉢木 . 天鼓 . 女郎花 . 融 / [著者不明].-- 利会屋; 元禄2(1689)年初冬刊.</v>
      </c>
    </row>
    <row r="1444" spans="1:3" ht="11.25">
      <c r="A1444" s="3" t="str">
        <f>"912.3/10/5/MASAOKA"</f>
        <v>912.3/10/5/MASAOKA</v>
      </c>
      <c r="B1444" s="3" t="str">
        <f>"5"</f>
        <v>5</v>
      </c>
      <c r="C1444" s="3" t="str">
        <f>"養老 . 清経 . 采女 . 葵上 . 遊行柳 / [著者不明] ; 5.-- 伊丹屋太郎右衛門; 元禄10(1697)年5月刊."</f>
        <v>養老 . 清経 . 采女 . 葵上 . 遊行柳 / [著者不明] ; 5.-- 伊丹屋太郎右衛門; 元禄10(1697)年5月刊.</v>
      </c>
    </row>
    <row r="1445" spans="1:3" ht="11.25">
      <c r="A1445" s="3" t="str">
        <f>"912.3/10/14/MASAOKA"</f>
        <v>912.3/10/14/MASAOKA</v>
      </c>
      <c r="B1445" s="3" t="str">
        <f>"14"</f>
        <v>14</v>
      </c>
      <c r="C1445" s="3" t="str">
        <f>"春日龍神 . 船橋 . 江口 . 花筐 . 源氏供養 / [著者不明] ; 14.-- 伊丹屋太郎右衛門; 元禄10(1697)年5月刊."</f>
        <v>春日龍神 . 船橋 . 江口 . 花筐 . 源氏供養 / [著者不明] ; 14.-- 伊丹屋太郎右衛門; 元禄10(1697)年5月刊.</v>
      </c>
    </row>
    <row r="1446" spans="1:3" ht="11.25">
      <c r="A1446" s="3" t="str">
        <f>"912.3/10/16/MASAOKA"</f>
        <v>912.3/10/16/MASAOKA</v>
      </c>
      <c r="B1446" s="3" t="str">
        <f>"16"</f>
        <v>16</v>
      </c>
      <c r="C1446" s="3" t="str">
        <f>"芦苅 . 善界 . 芭蕉 . 通小町 . 天鼓 / [著者不明] ; 16.-- 伊丹屋太郎右衛門; 元禄10(1697)年5月刊."</f>
        <v>芦苅 . 善界 . 芭蕉 . 通小町 . 天鼓 / [著者不明] ; 16.-- 伊丹屋太郎右衛門; 元禄10(1697)年5月刊.</v>
      </c>
    </row>
    <row r="1447" spans="1:3" ht="11.25">
      <c r="A1447" s="3" t="str">
        <f>"912.3/11/4/MASAOKA"</f>
        <v>912.3/11/4/MASAOKA</v>
      </c>
      <c r="B1447" s="3" t="str">
        <f>"4"</f>
        <v>4</v>
      </c>
      <c r="C1447" s="3" t="str">
        <f>"白楽天 . 実盛 . 玉葛 . 柏崎 . 融 / [著者不明] ; 4.-- 山本長兵衛; 宝永1(1704)年刊."</f>
        <v>白楽天 . 実盛 . 玉葛 . 柏崎 . 融 / [著者不明] ; 4.-- 山本長兵衛; 宝永1(1704)年刊.</v>
      </c>
    </row>
    <row r="1448" spans="1:3" ht="11.25">
      <c r="A1448" s="3" t="str">
        <f>"912.3/11/9/MASAOKA"</f>
        <v>912.3/11/9/MASAOKA</v>
      </c>
      <c r="B1448" s="3" t="str">
        <f>"9"</f>
        <v>9</v>
      </c>
      <c r="C1448" s="3" t="str">
        <f>"玉井 . 景清 . 杜若 . 安達原 . 当摩 / [著者不明] ; 9.-- 山本長兵衛; 宝永1(1704)年刊."</f>
        <v>玉井 . 景清 . 杜若 . 安達原 . 当摩 / [著者不明] ; 9.-- 山本長兵衛; 宝永1(1704)年刊.</v>
      </c>
    </row>
    <row r="1449" spans="1:3" ht="11.25">
      <c r="A1449" s="3" t="str">
        <f>"912.3/12//MASAOKA"</f>
        <v>912.3/12//MASAOKA</v>
      </c>
      <c r="B1449" s="3">
        <f>""</f>
      </c>
      <c r="C1449" s="3" t="str">
        <f>"田村 . 実盛 . 八嶋 . 忠度 . 兼平 / [著者不明].-- 谷口七左衛門,伊勢屋七郎兵衛; 正徳4(1714)年3月刊."</f>
        <v>田村 . 実盛 . 八嶋 . 忠度 . 兼平 / [著者不明].-- 谷口七左衛門,伊勢屋七郎兵衛; 正徳4(1714)年3月刊.</v>
      </c>
    </row>
    <row r="1450" spans="1:3" ht="11.25">
      <c r="A1450" s="3" t="str">
        <f>"912.3/13/3/MASAOKA"</f>
        <v>912.3/13/3/MASAOKA</v>
      </c>
      <c r="B1450" s="3" t="str">
        <f>"3"</f>
        <v>3</v>
      </c>
      <c r="C1450" s="3" t="str">
        <f>"葵上 . 黒塚 . 山姥 . 紅葉狩 . 道成寺 / [著者不明] ; 3.-- [出版者不明]; [出版年不明]."</f>
        <v>葵上 . 黒塚 . 山姥 . 紅葉狩 . 道成寺 / [著者不明] ; 3.-- [出版者不明]; [出版年不明].</v>
      </c>
    </row>
    <row r="1451" spans="1:3" ht="11.25">
      <c r="A1451" s="3" t="str">
        <f>"912.3/13/9/MASAOKA"</f>
        <v>912.3/13/9/MASAOKA</v>
      </c>
      <c r="B1451" s="3" t="str">
        <f>"9"</f>
        <v>9</v>
      </c>
      <c r="C1451" s="3" t="str">
        <f>"浮舟 . 玉葛 . 卒都婆小町 . 関寺小町 . 通小町 / [著者不明] ; 9.-- [出版者不明]; [出版年不明]."</f>
        <v>浮舟 . 玉葛 . 卒都婆小町 . 関寺小町 . 通小町 / [著者不明] ; 9.-- [出版者不明]; [出版年不明].</v>
      </c>
    </row>
    <row r="1452" spans="1:3" ht="11.25">
      <c r="A1452" s="3" t="str">
        <f>"912.4/1//MASAOKA"</f>
        <v>912.4/1//MASAOKA</v>
      </c>
      <c r="B1452" s="3">
        <f>""</f>
      </c>
      <c r="C1452" s="3" t="str">
        <f>"傾城酒呑童子 / 近松門左衛門著.-- 武蔵屋叢書閣; 1892.4.-- (戯曲叢書 ; 第12冊)."</f>
        <v>傾城酒呑童子 / 近松門左衛門著.-- 武蔵屋叢書閣; 1892.4.-- (戯曲叢書 ; 第12冊).</v>
      </c>
    </row>
    <row r="1453" spans="1:3" ht="11.25">
      <c r="A1453" s="3" t="str">
        <f>"912.4/2//MASAOKA"</f>
        <v>912.4/2//MASAOKA</v>
      </c>
      <c r="B1453" s="3">
        <f>""</f>
      </c>
      <c r="C1453" s="3" t="str">
        <f>"百合若大臣野守鏡 ; あとおひ心中卯月の潤色 / 近松門左衛門著.-- 武蔵屋叢書閣; 1892.7.-- (戯曲叢書 ; 第14冊)."</f>
        <v>百合若大臣野守鏡 ; あとおひ心中卯月の潤色 / 近松門左衛門著.-- 武蔵屋叢書閣; 1892.7.-- (戯曲叢書 ; 第14冊).</v>
      </c>
    </row>
    <row r="1454" spans="1:3" ht="11.25">
      <c r="A1454" s="3" t="str">
        <f>"912.4/3//MASAOKA"</f>
        <v>912.4/3//MASAOKA</v>
      </c>
      <c r="B1454" s="3">
        <f>""</f>
      </c>
      <c r="C1454" s="3" t="str">
        <f>"高尾三世二河白道 . 八百屋お七 / 紀海音著.-- 武蔵屋叢書閣; 1892.-- (戯曲叢書 ; 第15冊)."</f>
        <v>高尾三世二河白道 . 八百屋お七 / 紀海音著.-- 武蔵屋叢書閣; 1892.-- (戯曲叢書 ; 第15冊).</v>
      </c>
    </row>
    <row r="1455" spans="1:3" ht="11.25">
      <c r="A1455" s="3" t="str">
        <f>"912.4/4//MASAOKA"</f>
        <v>912.4/4//MASAOKA</v>
      </c>
      <c r="B1455" s="3">
        <f>""</f>
      </c>
      <c r="C1455" s="3" t="str">
        <f>"信州川中嶋合戦 / 近松門左衛門著.-- 武蔵屋叢書閣; 1892.6.-- (戯曲叢書 ; 第13冊)."</f>
        <v>信州川中嶋合戦 / 近松門左衛門著.-- 武蔵屋叢書閣; 1892.6.-- (戯曲叢書 ; 第13冊).</v>
      </c>
    </row>
    <row r="1456" spans="1:3" ht="11.25">
      <c r="A1456" s="3" t="str">
        <f>"912.4/5//MASAOKA"</f>
        <v>912.4/5//MASAOKA</v>
      </c>
      <c r="B1456" s="3">
        <f>""</f>
      </c>
      <c r="C1456" s="3" t="str">
        <f>"井筒屋源六恋寒晒 / 西沢一風, 田中千柳著 . 男色加茂侍 / 錦文流著.-- 武蔵屋叢書閣; 1894.6.-- (戯曲叢書 ; 第20冊)."</f>
        <v>井筒屋源六恋寒晒 / 西沢一風, 田中千柳著 . 男色加茂侍 / 錦文流著.-- 武蔵屋叢書閣; 1894.6.-- (戯曲叢書 ; 第20冊).</v>
      </c>
    </row>
    <row r="1457" spans="1:3" ht="11.25">
      <c r="A1457" s="3" t="str">
        <f>"912.4/6//MASAOKA"</f>
        <v>912.4/6//MASAOKA</v>
      </c>
      <c r="B1457" s="3">
        <f>""</f>
      </c>
      <c r="C1457" s="3" t="str">
        <f>"十二段 / 近松門左衛門.-- 武蔵屋叢書閣; 明治23(1890)年6月."</f>
        <v>十二段 / 近松門左衛門.-- 武蔵屋叢書閣; 明治23(1890)年6月.</v>
      </c>
    </row>
    <row r="1458" spans="1:3" ht="11.25">
      <c r="A1458" s="3" t="str">
        <f>"912.4/7//MASAOKA"</f>
        <v>912.4/7//MASAOKA</v>
      </c>
      <c r="B1458" s="3">
        <f>""</f>
      </c>
      <c r="C1458" s="3" t="str">
        <f>"傾城反魂香 / 近松門左衛門.-- 武蔵屋叢書閣; 明治24(1891)年4月."</f>
        <v>傾城反魂香 / 近松門左衛門.-- 武蔵屋叢書閣; 明治24(1891)年4月.</v>
      </c>
    </row>
    <row r="1459" spans="1:3" ht="11.25">
      <c r="A1459" s="3" t="str">
        <f>"912.4/8//MASAOKA"</f>
        <v>912.4/8//MASAOKA</v>
      </c>
      <c r="B1459" s="3" t="str">
        <f>"完"</f>
        <v>完</v>
      </c>
      <c r="C1459" s="3" t="str">
        <f>"戯曲近松集 / 近松門左衛門著 ; 完.-- 我自刊我書屋; 明治22(1889)年1月."</f>
        <v>戯曲近松集 / 近松門左衛門著 ; 完.-- 我自刊我書屋; 明治22(1889)年1月.</v>
      </c>
    </row>
    <row r="1460" spans="1:3" ht="11.25">
      <c r="A1460" s="3" t="str">
        <f>"912.4/9//MASAOKA"</f>
        <v>912.4/9//MASAOKA</v>
      </c>
      <c r="B1460" s="3">
        <f>""</f>
      </c>
      <c r="C1460" s="3" t="str">
        <f>"心中二ツ腹帯;末広十二段 / 紀海音[著].-- 武蔵屋叢書閣; 明治24(1891)年2月."</f>
        <v>心中二ツ腹帯;末広十二段 / 紀海音[著].-- 武蔵屋叢書閣; 明治24(1891)年2月.</v>
      </c>
    </row>
    <row r="1461" spans="1:3" ht="11.25">
      <c r="A1461" s="3" t="str">
        <f>"912.4/10//MASAOKA"</f>
        <v>912.4/10//MASAOKA</v>
      </c>
      <c r="B1461" s="3">
        <f>""</f>
      </c>
      <c r="C1461" s="3" t="str">
        <f>"義経新高舘 / 紀海音[著].-- 晩鐘閣; 明治24(1891)年9月.-- (文学材料 ; 第5巻)."</f>
        <v>義経新高舘 / 紀海音[著].-- 晩鐘閣; 明治24(1891)年9月.-- (文学材料 ; 第5巻).</v>
      </c>
    </row>
    <row r="1462" spans="1:3" ht="11.25">
      <c r="A1462" s="3" t="str">
        <f>"912.4/11//MASAOKA"</f>
        <v>912.4/11//MASAOKA</v>
      </c>
      <c r="B1462" s="3">
        <f>""</f>
      </c>
      <c r="C1462" s="3" t="str">
        <f>"大塔宮曦鎧 : 太平記綱目 / 竹田出雲等著.-- 武蔵屋叢書閣; 1890.11."</f>
        <v>大塔宮曦鎧 : 太平記綱目 / 竹田出雲等著.-- 武蔵屋叢書閣; 1890.11.</v>
      </c>
    </row>
    <row r="1463" spans="1:3" ht="11.25">
      <c r="A1463" s="3" t="str">
        <f>"912.4/12//MASAOKA"</f>
        <v>912.4/12//MASAOKA</v>
      </c>
      <c r="B1463" s="3">
        <f>""</f>
      </c>
      <c r="C1463" s="3" t="str">
        <f>"天智天皇 / 近松門左衛門[著].-- 武蔵屋叢書閣; 明治23(1890)年1月."</f>
        <v>天智天皇 / 近松門左衛門[著].-- 武蔵屋叢書閣; 明治23(1890)年1月.</v>
      </c>
    </row>
    <row r="1464" spans="1:3" ht="11.25">
      <c r="A1464" s="3" t="str">
        <f>"912.4/13//MASAOKA"</f>
        <v>912.4/13//MASAOKA</v>
      </c>
      <c r="B1464" s="3" t="str">
        <f>"完"</f>
        <v>完</v>
      </c>
      <c r="C1464" s="3" t="str">
        <f>"吉野都女楠 / 近松門左衛門[著] ; 完.-- 武蔵屋叢書閣; 明治23(1890)年8月."</f>
        <v>吉野都女楠 / 近松門左衛門[著] ; 完.-- 武蔵屋叢書閣; 明治23(1890)年8月.</v>
      </c>
    </row>
    <row r="1465" spans="1:3" ht="11.25">
      <c r="A1465" s="3" t="str">
        <f>"912.4/14//MASAOKA"</f>
        <v>912.4/14//MASAOKA</v>
      </c>
      <c r="B1465" s="3">
        <f>""</f>
      </c>
      <c r="C1465" s="3" t="str">
        <f>"伊達染手綱;心中重井筒 / 近松門左衛門[著].-- 4版.-- 武蔵屋叢書閣; 明治25(1892)年2月."</f>
        <v>伊達染手綱;心中重井筒 / 近松門左衛門[著].-- 4版.-- 武蔵屋叢書閣; 明治25(1892)年2月.</v>
      </c>
    </row>
    <row r="1466" spans="1:3" ht="11.25">
      <c r="A1466" s="3" t="str">
        <f>"912.4/15//MASAOKA"</f>
        <v>912.4/15//MASAOKA</v>
      </c>
      <c r="B1466" s="3">
        <f>""</f>
      </c>
      <c r="C1466" s="3" t="str">
        <f>"日本振袖始 / 近松門左衛門[著].-- 再版.-- 武蔵屋叢書閣; 明治23(1890)年8月."</f>
        <v>日本振袖始 / 近松門左衛門[著].-- 再版.-- 武蔵屋叢書閣; 明治23(1890)年8月.</v>
      </c>
    </row>
    <row r="1467" spans="1:3" ht="11.25">
      <c r="A1467" s="3" t="str">
        <f>"912.4/16//MASAOKA"</f>
        <v>912.4/16//MASAOKA</v>
      </c>
      <c r="B1467" s="3">
        <f>""</f>
      </c>
      <c r="C1467" s="3" t="str">
        <f>"蝉丸;伊達染手綱 / 近松門左衛門[著].-- 武蔵屋叢書閣; 明治23(1890)年1月."</f>
        <v>蝉丸;伊達染手綱 / 近松門左衛門[著].-- 武蔵屋叢書閣; 明治23(1890)年1月.</v>
      </c>
    </row>
    <row r="1468" spans="1:3" ht="11.25">
      <c r="A1468" s="3" t="str">
        <f>"912.4/17//MASAOKA"</f>
        <v>912.4/17//MASAOKA</v>
      </c>
      <c r="B1468" s="3">
        <f>""</f>
      </c>
      <c r="C1468" s="3" t="str">
        <f>"嫗山姥;重井筒 / 近松門左衛門[著].-- 再版.-- 武蔵屋叢書閣; 明治23(1890)年10月."</f>
        <v>嫗山姥;重井筒 / 近松門左衛門[著].-- 再版.-- 武蔵屋叢書閣; 明治23(1890)年10月.</v>
      </c>
    </row>
    <row r="1469" spans="1:3" ht="11.25">
      <c r="A1469" s="3" t="str">
        <f>"912.4/18//MASAOKA"</f>
        <v>912.4/18//MASAOKA</v>
      </c>
      <c r="B1469" s="3">
        <f>""</f>
      </c>
      <c r="C1469" s="3" t="str">
        <f>"今宮の心中;最明寺殿百人上草臈 / 近松門左衛門[著].-- 武蔵屋叢書閣; 明治23(1890)年11月."</f>
        <v>今宮の心中;最明寺殿百人上草臈 / 近松門左衛門[著].-- 武蔵屋叢書閣; 明治23(1890)年11月.</v>
      </c>
    </row>
    <row r="1470" spans="1:3" ht="11.25">
      <c r="A1470" s="3" t="str">
        <f>"912.4/19//MASAOKA"</f>
        <v>912.4/19//MASAOKA</v>
      </c>
      <c r="B1470" s="3">
        <f>""</f>
      </c>
      <c r="C1470" s="3" t="str">
        <f>"関八州繋馬 / 近松門左衛門[著].-- 武蔵屋叢書閣; 明治24(1891)年1月."</f>
        <v>関八州繋馬 / 近松門左衛門[著].-- 武蔵屋叢書閣; 明治24(1891)年1月.</v>
      </c>
    </row>
    <row r="1471" spans="1:3" ht="11.25">
      <c r="A1471" s="3" t="str">
        <f>"912.4/20//MASAOKA"</f>
        <v>912.4/20//MASAOKA</v>
      </c>
      <c r="B1471" s="3">
        <f>""</f>
      </c>
      <c r="C1471" s="3" t="str">
        <f>"おさん茂兵衛恋八掛柱暦 / 近松門左衛門[著].-- 3版.-- 武蔵屋叢書閣; 明治23(1890)年11月."</f>
        <v>おさん茂兵衛恋八掛柱暦 / 近松門左衛門[著].-- 3版.-- 武蔵屋叢書閣; 明治23(1890)年11月.</v>
      </c>
    </row>
    <row r="1472" spans="1:3" ht="11.25">
      <c r="A1472" s="3" t="str">
        <f>"912.4/21//MASAOKA"</f>
        <v>912.4/21//MASAOKA</v>
      </c>
      <c r="B1472" s="3">
        <f>""</f>
      </c>
      <c r="C1472" s="3" t="str">
        <f>"百日曽我 / 近松門左衛門[著].-- 3版.-- 武蔵屋叢書閣; 明治23(1890)年5月."</f>
        <v>百日曽我 / 近松門左衛門[著].-- 3版.-- 武蔵屋叢書閣; 明治23(1890)年5月.</v>
      </c>
    </row>
    <row r="1473" spans="1:3" ht="11.25">
      <c r="A1473" s="3" t="str">
        <f>"912.4/22//MASAOKA"</f>
        <v>912.4/22//MASAOKA</v>
      </c>
      <c r="B1473" s="3">
        <f>""</f>
      </c>
      <c r="C1473" s="3" t="str">
        <f>"出世景清 / 近松門左衛門[著].-- 再版.-- 武蔵屋叢書閣; 明治23(1890)年11月."</f>
        <v>出世景清 / 近松門左衛門[著].-- 再版.-- 武蔵屋叢書閣; 明治23(1890)年11月.</v>
      </c>
    </row>
    <row r="1474" spans="1:3" ht="11.25">
      <c r="A1474" s="3" t="str">
        <f>"912.4/23//MASAOKA"</f>
        <v>912.4/23//MASAOKA</v>
      </c>
      <c r="B1474" s="3">
        <f>""</f>
      </c>
      <c r="C1474" s="3" t="str">
        <f>"心中天の網島;源氏烏帽子折 / 近松門左衛門[著].-- 武蔵屋叢書閣; 明治24(1891)年3月."</f>
        <v>心中天の網島;源氏烏帽子折 / 近松門左衛門[著].-- 武蔵屋叢書閣; 明治24(1891)年3月.</v>
      </c>
    </row>
    <row r="1475" spans="1:3" ht="11.25">
      <c r="A1475" s="3" t="str">
        <f>"912.4/24//MASAOKA"</f>
        <v>912.4/24//MASAOKA</v>
      </c>
      <c r="B1475" s="3">
        <f>""</f>
      </c>
      <c r="C1475" s="3" t="str">
        <f>"本朝三国誌 / 近松門左衛門[著].-- 再版.-- 武蔵屋叢書閣; 明治23(1890)年5月."</f>
        <v>本朝三国誌 / 近松門左衛門[著].-- 再版.-- 武蔵屋叢書閣; 明治23(1890)年5月.</v>
      </c>
    </row>
    <row r="1476" spans="1:3" ht="11.25">
      <c r="A1476" s="3" t="str">
        <f>"912.4/25//MASAOKA"</f>
        <v>912.4/25//MASAOKA</v>
      </c>
      <c r="B1476" s="3">
        <f>""</f>
      </c>
      <c r="C1476" s="3" t="str">
        <f>"双生隅田川;心中宵庚申 / 近松門左衛門[著].-- 武蔵屋叢書閣; 明治24(1891)年2月."</f>
        <v>双生隅田川;心中宵庚申 / 近松門左衛門[著].-- 武蔵屋叢書閣; 明治24(1891)年2月.</v>
      </c>
    </row>
    <row r="1477" spans="1:3" ht="11.25">
      <c r="A1477" s="3" t="str">
        <f>"912.4/26//MASAOKA"</f>
        <v>912.4/26//MASAOKA</v>
      </c>
      <c r="B1477" s="3">
        <f>""</f>
      </c>
      <c r="C1477" s="3" t="str">
        <f>"国性爺合戦 / 近松門左衛門[著].-- 武蔵屋叢書閣; 明治24(1891)年1月."</f>
        <v>国性爺合戦 / 近松門左衛門[著].-- 武蔵屋叢書閣; 明治24(1891)年1月.</v>
      </c>
    </row>
    <row r="1478" spans="1:3" ht="11.25">
      <c r="A1478" s="3" t="str">
        <f>"912.4/27//MASAOKA"</f>
        <v>912.4/27//MASAOKA</v>
      </c>
      <c r="B1478" s="3">
        <f>""</f>
      </c>
      <c r="C1478" s="3" t="str">
        <f>"曽根崎心中;心中二枚絵双紙;博多小女郎浪枕 / 近松門左衛門[著].-- 武蔵屋叢書閣; 明治24(1891)年3月.-- (近松叢書)."</f>
        <v>曽根崎心中;心中二枚絵双紙;博多小女郎浪枕 / 近松門左衛門[著].-- 武蔵屋叢書閣; 明治24(1891)年3月.-- (近松叢書).</v>
      </c>
    </row>
    <row r="1479" spans="1:3" ht="11.25">
      <c r="A1479" s="3" t="str">
        <f>"912.4/28//MASAOKA"</f>
        <v>912.4/28//MASAOKA</v>
      </c>
      <c r="B1479" s="3" t="str">
        <f>"全"</f>
        <v>全</v>
      </c>
      <c r="C1479" s="3" t="str">
        <f>"曽我会稽山 / 近松門左衛門[著] ; 全.-- 丸善書店; 明治24(1891)年5月.-- (近松叢書)."</f>
        <v>曽我会稽山 / 近松門左衛門[著] ; 全.-- 丸善書店; 明治24(1891)年5月.-- (近松叢書).</v>
      </c>
    </row>
    <row r="1480" spans="1:3" ht="11.25">
      <c r="A1480" s="3" t="str">
        <f>"912.4/29//MASAOKA"</f>
        <v>912.4/29//MASAOKA</v>
      </c>
      <c r="B1480" s="3" t="str">
        <f>"全"</f>
        <v>全</v>
      </c>
      <c r="C1480" s="3" t="str">
        <f>"雪女五枚羽子板 / 近松門左衛門[著] ; 全.-- 丸善書店; 明治24(1891)年5月.-- (近松叢書)."</f>
        <v>雪女五枚羽子板 / 近松門左衛門[著] ; 全.-- 丸善書店; 明治24(1891)年5月.-- (近松叢書).</v>
      </c>
    </row>
    <row r="1481" spans="1:3" ht="11.25">
      <c r="A1481" s="3" t="str">
        <f>"912.4/30//MASAOKA"</f>
        <v>912.4/30//MASAOKA</v>
      </c>
      <c r="B1481" s="3" t="str">
        <f>"全"</f>
        <v>全</v>
      </c>
      <c r="C1481" s="3" t="str">
        <f>"女殺油地獄 / 近松門左衛門[著],有馬太郎編 ; 全.-- 有馬太郎; 明治24(1891)年3月.-- (文学叢書)."</f>
        <v>女殺油地獄 / 近松門左衛門[著],有馬太郎編 ; 全.-- 有馬太郎; 明治24(1891)年3月.-- (文学叢書).</v>
      </c>
    </row>
    <row r="1482" spans="1:3" ht="11.25">
      <c r="A1482" s="3" t="str">
        <f>"912.4/31//MASAOKA"</f>
        <v>912.4/31//MASAOKA</v>
      </c>
      <c r="B1482" s="3">
        <f>""</f>
      </c>
      <c r="C1482" s="3" t="str">
        <f>"相模入道千疋犬 / 近松門左衛門[著],有馬太郎編.-- 有馬太郎; 明治24(1891)年3月.-- (文学材料)."</f>
        <v>相模入道千疋犬 / 近松門左衛門[著],有馬太郎編.-- 有馬太郎; 明治24(1891)年3月.-- (文学材料).</v>
      </c>
    </row>
    <row r="1483" spans="1:3" ht="11.25">
      <c r="A1483" s="3" t="str">
        <f>"912.4/32//MASAOKA"</f>
        <v>912.4/32//MASAOKA</v>
      </c>
      <c r="B1483" s="3">
        <f>""</f>
      </c>
      <c r="C1483" s="3" t="str">
        <f>"嵯峨天皇甘露雨 / 近松門左衛門[著].-- 文学書院; 明治24(1891)年5月.-- (文学材料)."</f>
        <v>嵯峨天皇甘露雨 / 近松門左衛門[著].-- 文学書院; 明治24(1891)年5月.-- (文学材料).</v>
      </c>
    </row>
    <row r="1484" spans="1:3" ht="11.25">
      <c r="A1484" s="3" t="str">
        <f>"912.4/33//MASAOKA"</f>
        <v>912.4/33//MASAOKA</v>
      </c>
      <c r="B1484" s="3">
        <f>""</f>
      </c>
      <c r="C1484" s="3" t="str">
        <f>"天鼓 / 近松門左衛門[著] 吉田広作編.-- 三三文房; 明治24(1891)年2月.-- (文学資料)."</f>
        <v>天鼓 / 近松門左衛門[著] 吉田広作編.-- 三三文房; 明治24(1891)年2月.-- (文学資料).</v>
      </c>
    </row>
    <row r="1485" spans="1:3" ht="11.25">
      <c r="A1485" s="3" t="str">
        <f>"912.4/34//MASAOKA"</f>
        <v>912.4/34//MASAOKA</v>
      </c>
      <c r="B1485" s="3">
        <f>""</f>
      </c>
      <c r="C1485" s="3" t="str">
        <f>"平家女護島 / 近松門左衛門[著] 吉田広作編.-- 三三文房; 明治24(1891)年3月.-- (文学資料)."</f>
        <v>平家女護島 / 近松門左衛門[著] 吉田広作編.-- 三三文房; 明治24(1891)年3月.-- (文学資料).</v>
      </c>
    </row>
    <row r="1486" spans="1:3" ht="11.25">
      <c r="A1486" s="3" t="str">
        <f>"912.4/35//MASAOKA"</f>
        <v>912.4/35//MASAOKA</v>
      </c>
      <c r="B1486" s="3">
        <f>""</f>
      </c>
      <c r="C1486" s="3" t="str">
        <f>"[モミジ]狩釖本地 / 近松門左衛門[著] 吉田広作編.-- 三三文房; 明治24(1891)年4月.-- (文学資料)."</f>
        <v>[モミジ]狩釖本地 / 近松門左衛門[著] 吉田広作編.-- 三三文房; 明治24(1891)年4月.-- (文学資料).</v>
      </c>
    </row>
    <row r="1487" spans="1:3" ht="11.25">
      <c r="A1487" s="3" t="str">
        <f>"912.4/36//MASAOKA"</f>
        <v>912.4/36//MASAOKA</v>
      </c>
      <c r="B1487" s="3">
        <f>""</f>
      </c>
      <c r="C1487" s="3" t="str">
        <f>"釈迦如来誕生会 / 近松門左衛門[著] 吉田広作編 ; 全.-- 三三文房; 明治24(1891)年4月.-- (文学資料)."</f>
        <v>釈迦如来誕生会 / 近松門左衛門[著] 吉田広作編 ; 全.-- 三三文房; 明治24(1891)年4月.-- (文学資料).</v>
      </c>
    </row>
    <row r="1488" spans="1:3" ht="11.25">
      <c r="A1488" s="3" t="str">
        <f>"912.4/37//MASAOKA"</f>
        <v>912.4/37//MASAOKA</v>
      </c>
      <c r="B1488" s="3">
        <f>""</f>
      </c>
      <c r="C1488" s="3" t="str">
        <f>"孕常盤 / 近松門左衛門[著].-- 三三文房; 明治25(1892)年7月.-- (文学資料)."</f>
        <v>孕常盤 / 近松門左衛門[著].-- 三三文房; 明治25(1892)年7月.-- (文学資料).</v>
      </c>
    </row>
    <row r="1489" spans="1:3" ht="11.25">
      <c r="A1489" s="3" t="str">
        <f>"912.4/38//MASAOKA"</f>
        <v>912.4/38//MASAOKA</v>
      </c>
      <c r="B1489" s="3">
        <f>""</f>
      </c>
      <c r="C1489" s="3" t="str">
        <f>"天神記 / 近松門左衛門著.-- 武蔵屋叢書閣; 1892.3.-- (戯曲叢書 ; 第11冊)."</f>
        <v>天神記 / 近松門左衛門著.-- 武蔵屋叢書閣; 1892.3.-- (戯曲叢書 ; 第11冊).</v>
      </c>
    </row>
    <row r="1490" spans="1:3" ht="11.25">
      <c r="A1490" s="3" t="str">
        <f>"912.4/39//MASAOKA"</f>
        <v>912.4/39//MASAOKA</v>
      </c>
      <c r="B1490" s="3">
        <f>""</f>
      </c>
      <c r="C1490" s="3" t="str">
        <f>"堀川波の鼓 ; 心中万年草 ; 世継曽我 / 近松門左衛門著.-- 武蔵屋叢書閣; 1891.7.-- (戯曲叢書 ; 第4冊)."</f>
        <v>堀川波の鼓 ; 心中万年草 ; 世継曽我 / 近松門左衛門著.-- 武蔵屋叢書閣; 1891.7.-- (戯曲叢書 ; 第4冊).</v>
      </c>
    </row>
    <row r="1491" spans="1:3" ht="11.25">
      <c r="A1491" s="3" t="str">
        <f>"912.4/40//MASAOKA"</f>
        <v>912.4/40//MASAOKA</v>
      </c>
      <c r="B1491" s="3">
        <f>""</f>
      </c>
      <c r="C1491" s="3" t="str">
        <f>"梅川忠兵衛冥途の飛脚 ; 夕霧阿波鳴渡/ 近松門左衛門著.-- 武蔵屋叢書閣; 1891.9.-- (戯曲叢書 ; 第5冊)."</f>
        <v>梅川忠兵衛冥途の飛脚 ; 夕霧阿波鳴渡/ 近松門左衛門著.-- 武蔵屋叢書閣; 1891.9.-- (戯曲叢書 ; 第5冊).</v>
      </c>
    </row>
    <row r="1492" spans="1:3" ht="11.25">
      <c r="A1492" s="3" t="str">
        <f>"912.4/42//MASAOKA"</f>
        <v>912.4/42//MASAOKA</v>
      </c>
      <c r="B1492" s="3">
        <f>""</f>
      </c>
      <c r="C1492" s="3" t="str">
        <f>"心中刄は氷の朔日 ; 五十年忌歌念仏 / 近松門左衛門著.-- 武蔵屋叢書閣; 1891.10.-- (戯曲叢書 ; 第7冊)."</f>
        <v>心中刄は氷の朔日 ; 五十年忌歌念仏 / 近松門左衛門著.-- 武蔵屋叢書閣; 1891.10.-- (戯曲叢書 ; 第7冊).</v>
      </c>
    </row>
    <row r="1493" spans="1:3" ht="11.25">
      <c r="A1493" s="3" t="str">
        <f>"912.4/43//MASAOKA"</f>
        <v>912.4/43//MASAOKA</v>
      </c>
      <c r="B1493" s="3">
        <f>""</f>
      </c>
      <c r="C1493" s="3" t="str">
        <f>"生玉心中 ; 女殺油地獄 / 近松門左衛門著.-- 武蔵屋叢書閣; 1891.11.-- (戯曲叢書 ; 第5冊)."</f>
        <v>生玉心中 ; 女殺油地獄 / 近松門左衛門著.-- 武蔵屋叢書閣; 1891.11.-- (戯曲叢書 ; 第5冊).</v>
      </c>
    </row>
    <row r="1494" spans="1:3" ht="11.25">
      <c r="A1494" s="3" t="str">
        <f>"912.4/44//MASAOKA"</f>
        <v>912.4/44//MASAOKA</v>
      </c>
      <c r="B1494" s="3">
        <f>""</f>
      </c>
      <c r="C1494" s="3" t="str">
        <f>"與兵衛おかめひぢりめん卯月の紅葉 ; 源五兵衛おまん薩摩哥 / 近松門左衛門著.-- 武蔵屋叢書閣; 1892.1.-- (戯曲叢書 ; 第9冊)."</f>
        <v>與兵衛おかめひぢりめん卯月の紅葉 ; 源五兵衛おまん薩摩哥 / 近松門左衛門著.-- 武蔵屋叢書閣; 1892.1.-- (戯曲叢書 ; 第9冊).</v>
      </c>
    </row>
    <row r="1495" spans="1:3" ht="11.25">
      <c r="A1495" s="3" t="str">
        <f>"912.4/45//MASAOKA"</f>
        <v>912.4/45//MASAOKA</v>
      </c>
      <c r="B1495" s="3">
        <f>""</f>
      </c>
      <c r="C1495" s="3" t="str">
        <f>"長町女腹切 ; 淀鯉出世滝徳 / 近松門左衛門著.-- 武蔵屋叢書閣; 1892.-- (戯曲叢書 ; 第10冊)."</f>
        <v>長町女腹切 ; 淀鯉出世滝徳 / 近松門左衛門著.-- 武蔵屋叢書閣; 1892.-- (戯曲叢書 ; 第10冊).</v>
      </c>
    </row>
    <row r="1496" spans="1:3" ht="11.25">
      <c r="A1496" s="3" t="str">
        <f>"912.4/46//MASAOKA"</f>
        <v>912.4/46//MASAOKA</v>
      </c>
      <c r="B1496" s="3" t="str">
        <f>"第1冊"</f>
        <v>第1冊</v>
      </c>
      <c r="C1496" s="3" t="str">
        <f>"新編大和文範 / [早矢仕民治,中島精一編] ; 第1冊.-- 富貴館; 明治24(1891)年."</f>
        <v>新編大和文範 / [早矢仕民治,中島精一編] ; 第1冊.-- 富貴館; 明治24(1891)年.</v>
      </c>
    </row>
    <row r="1497" spans="1:3" ht="11.25">
      <c r="A1497" s="3" t="str">
        <f>"912.4/47/1-1/MASAOKA"</f>
        <v>912.4/47/1-1/MASAOKA</v>
      </c>
      <c r="B1497" s="3" t="str">
        <f>"巻1ノ上: 宮上"</f>
        <v>巻1ノ上: 宮上</v>
      </c>
      <c r="C1497" s="3" t="str">
        <f aca="true" t="shared" si="31" ref="C1497:C1502">"声曲類纂 / [斎藤雪成編] ; 巻1ノ上,巻1ノ下,巻2-5 - 巻1ノ下: 宮下.-- 須原屋茂兵衛,須原屋伊八; 弘化4(1847)年刊."</f>
        <v>声曲類纂 / [斎藤雪成編] ; 巻1ノ上,巻1ノ下,巻2-5 - 巻1ノ下: 宮下.-- 須原屋茂兵衛,須原屋伊八; 弘化4(1847)年刊.</v>
      </c>
    </row>
    <row r="1498" spans="1:3" ht="11.25">
      <c r="A1498" s="3" t="str">
        <f>"912.4/47/1-2/MASAOKA"</f>
        <v>912.4/47/1-2/MASAOKA</v>
      </c>
      <c r="B1498" s="3" t="str">
        <f>"巻1ノ下: 宮下"</f>
        <v>巻1ノ下: 宮下</v>
      </c>
      <c r="C1498" s="3" t="str">
        <f t="shared" si="31"/>
        <v>声曲類纂 / [斎藤雪成編] ; 巻1ノ上,巻1ノ下,巻2-5 - 巻1ノ下: 宮下.-- 須原屋茂兵衛,須原屋伊八; 弘化4(1847)年刊.</v>
      </c>
    </row>
    <row r="1499" spans="1:3" ht="11.25">
      <c r="A1499" s="3" t="str">
        <f>"912.4/47/2/MASAOKA"</f>
        <v>912.4/47/2/MASAOKA</v>
      </c>
      <c r="B1499" s="3" t="str">
        <f>"巻2: 商"</f>
        <v>巻2: 商</v>
      </c>
      <c r="C1499" s="3" t="str">
        <f t="shared" si="31"/>
        <v>声曲類纂 / [斎藤雪成編] ; 巻1ノ上,巻1ノ下,巻2-5 - 巻1ノ下: 宮下.-- 須原屋茂兵衛,須原屋伊八; 弘化4(1847)年刊.</v>
      </c>
    </row>
    <row r="1500" spans="1:3" ht="11.25">
      <c r="A1500" s="3" t="str">
        <f>"912.4/47/3/MASAOKA"</f>
        <v>912.4/47/3/MASAOKA</v>
      </c>
      <c r="B1500" s="3" t="str">
        <f>"巻3: 角"</f>
        <v>巻3: 角</v>
      </c>
      <c r="C1500" s="3" t="str">
        <f t="shared" si="31"/>
        <v>声曲類纂 / [斎藤雪成編] ; 巻1ノ上,巻1ノ下,巻2-5 - 巻1ノ下: 宮下.-- 須原屋茂兵衛,須原屋伊八; 弘化4(1847)年刊.</v>
      </c>
    </row>
    <row r="1501" spans="1:3" ht="11.25">
      <c r="A1501" s="3" t="str">
        <f>"912.4/47/4/MASAOKA"</f>
        <v>912.4/47/4/MASAOKA</v>
      </c>
      <c r="B1501" s="3" t="str">
        <f>"巻4: 徴"</f>
        <v>巻4: 徴</v>
      </c>
      <c r="C1501" s="3" t="str">
        <f t="shared" si="31"/>
        <v>声曲類纂 / [斎藤雪成編] ; 巻1ノ上,巻1ノ下,巻2-5 - 巻1ノ下: 宮下.-- 須原屋茂兵衛,須原屋伊八; 弘化4(1847)年刊.</v>
      </c>
    </row>
    <row r="1502" spans="1:3" ht="11.25">
      <c r="A1502" s="3" t="str">
        <f>"912.4/47/5/MASAOKA"</f>
        <v>912.4/47/5/MASAOKA</v>
      </c>
      <c r="B1502" s="3" t="str">
        <f>"巻5: 羽"</f>
        <v>巻5: 羽</v>
      </c>
      <c r="C1502" s="3" t="str">
        <f t="shared" si="31"/>
        <v>声曲類纂 / [斎藤雪成編] ; 巻1ノ上,巻1ノ下,巻2-5 - 巻1ノ下: 宮下.-- 須原屋茂兵衛,須原屋伊八; 弘化4(1847)年刊.</v>
      </c>
    </row>
    <row r="1503" spans="1:3" ht="11.25">
      <c r="A1503" s="3" t="str">
        <f>"912.4/48//MASAOKA"</f>
        <v>912.4/48//MASAOKA</v>
      </c>
      <c r="B1503" s="3" t="str">
        <f>"全"</f>
        <v>全</v>
      </c>
      <c r="C1503" s="3" t="str">
        <f>"妹背山女庭訓 / 近松半二,松田ばく,三好松洛[ほか2名] ; 全.-- [出版者不明]; [明和8(1771)年1月成立]."</f>
        <v>妹背山女庭訓 / 近松半二,松田ばく,三好松洛[ほか2名] ; 全.-- [出版者不明]; [明和8(1771)年1月成立].</v>
      </c>
    </row>
    <row r="1504" spans="1:3" ht="11.25">
      <c r="A1504" s="3" t="str">
        <f>"912.4/49//MASAOKA"</f>
        <v>912.4/49//MASAOKA</v>
      </c>
      <c r="B1504" s="3" t="str">
        <f>"4編"</f>
        <v>4編</v>
      </c>
      <c r="C1504" s="3" t="str">
        <f>"懐中浄瑠璃音曲玉揃 / [著者不明] ; 4編.-- 綿屋喜次郎; [出版年不明]."</f>
        <v>懐中浄瑠璃音曲玉揃 / [著者不明] ; 4編.-- 綿屋喜次郎; [出版年不明].</v>
      </c>
    </row>
    <row r="1505" spans="1:3" ht="11.25">
      <c r="A1505" s="3" t="str">
        <f>"912.4/50//MASAOKA"</f>
        <v>912.4/50//MASAOKA</v>
      </c>
      <c r="B1505" s="3">
        <f>""</f>
      </c>
      <c r="C1505" s="3" t="str">
        <f>"双生隅田川 : 三段目 / [近松門左衛門著].-- 紙屋与右衛門; [出版年不明]."</f>
        <v>双生隅田川 : 三段目 / [近松門左衛門著].-- 紙屋与右衛門; [出版年不明].</v>
      </c>
    </row>
    <row r="1506" spans="1:3" ht="11.25">
      <c r="A1506" s="3" t="str">
        <f>"912.4/51//MASAOKA"</f>
        <v>912.4/51//MASAOKA</v>
      </c>
      <c r="B1506" s="3">
        <f>""</f>
      </c>
      <c r="C1506" s="3" t="str">
        <f>"一の谷[フタバ]軍記 3の切:熊谷陣屋段 / 並木宗輔著.-- 加嶋清助; [出版年不明]."</f>
        <v>一の谷[フタバ]軍記 3の切:熊谷陣屋段 / 並木宗輔著.-- 加嶋清助; [出版年不明].</v>
      </c>
    </row>
    <row r="1507" spans="1:3" ht="11.25">
      <c r="A1507" s="3" t="str">
        <f>"912.4/52//MASAOKA"</f>
        <v>912.4/52//MASAOKA</v>
      </c>
      <c r="B1507" s="3">
        <f>""</f>
      </c>
      <c r="C1507" s="3" t="str">
        <f>"時雨の炬燵 / 内藤加我編.-- 金桜堂; 明治18(1885)年3月.-- (懐中義太夫)."</f>
        <v>時雨の炬燵 / 内藤加我編.-- 金桜堂; 明治18(1885)年3月.-- (懐中義太夫).</v>
      </c>
    </row>
    <row r="1508" spans="1:3" ht="11.25">
      <c r="A1508" s="3" t="str">
        <f>"912.4/53//MASAOKA"</f>
        <v>912.4/53//MASAOKA</v>
      </c>
      <c r="B1508" s="3">
        <f>""</f>
      </c>
      <c r="C1508" s="3" t="str">
        <f>"仮名手本忠臣蔵 / 内藤加我[編].-- 内藤加我; 明治21(1888)年2月.-- (懐中義太夫)."</f>
        <v>仮名手本忠臣蔵 / 内藤加我[編].-- 内藤加我; 明治21(1888)年2月.-- (懐中義太夫).</v>
      </c>
    </row>
    <row r="1509" spans="1:3" ht="11.25">
      <c r="A1509" s="3" t="str">
        <f>"912.4/54//MASAOKA"</f>
        <v>912.4/54//MASAOKA</v>
      </c>
      <c r="B1509" s="3">
        <f>""</f>
      </c>
      <c r="C1509" s="3" t="str">
        <f>"御所桜堀川夜討 / 文耕堂(松田和吉),三好松洛.-- [出版者不明]; [出版年不明]."</f>
        <v>御所桜堀川夜討 / 文耕堂(松田和吉),三好松洛.-- [出版者不明]; [出版年不明].</v>
      </c>
    </row>
    <row r="1510" spans="1:3" ht="11.25">
      <c r="A1510" s="3" t="str">
        <f>"912.4/55//MASAOKA"</f>
        <v>912.4/55//MASAOKA</v>
      </c>
      <c r="B1510" s="3">
        <f>""</f>
      </c>
      <c r="C1510" s="3" t="str">
        <f>"清水清玄清水清玄花系図都鑑 / 竹田出雲,近松半二,竹本三郎兵衛[ほか2名].--  山本九兵衛."</f>
        <v>清水清玄清水清玄花系図都鑑 / 竹田出雲,近松半二,竹本三郎兵衛[ほか2名].--  山本九兵衛.</v>
      </c>
    </row>
    <row r="1511" spans="1:3" ht="11.25">
      <c r="A1511" s="3" t="str">
        <f>"912.4/56//MASAOKA"</f>
        <v>912.4/56//MASAOKA</v>
      </c>
      <c r="B1511" s="3">
        <f>""</f>
      </c>
      <c r="C1511" s="3" t="str">
        <f>"東都名所花の国会 / 菱沼勝豪.-- 朝陽堂; 明治24(1891)年9月."</f>
        <v>東都名所花の国会 / 菱沼勝豪.-- 朝陽堂; 明治24(1891)年9月.</v>
      </c>
    </row>
    <row r="1512" spans="1:3" ht="11.25">
      <c r="A1512" s="3" t="str">
        <f>"912.4/66//MASAOKA"</f>
        <v>912.4/66//MASAOKA</v>
      </c>
      <c r="B1512" s="3">
        <f>""</f>
      </c>
      <c r="C1512" s="3" t="str">
        <f>"朝鮮太平記 / [著者不明].-- 山形屋勘右ヱ門; 正徳1(1711)年7月刊."</f>
        <v>朝鮮太平記 / [著者不明].-- 山形屋勘右ヱ門; 正徳1(1711)年7月刊.</v>
      </c>
    </row>
    <row r="1513" spans="1:3" ht="11.25">
      <c r="A1513" s="3" t="str">
        <f>"912.4/67//MASAOKA"</f>
        <v>912.4/67//MASAOKA</v>
      </c>
      <c r="B1513" s="3">
        <f>""</f>
      </c>
      <c r="C1513" s="3" t="str">
        <f>"公平鍋被 / [著者不明].-- [出版者不明]; [出版年不明]."</f>
        <v>公平鍋被 / [著者不明].-- [出版者不明]; [出版年不明].</v>
      </c>
    </row>
    <row r="1514" spans="1:3" ht="11.25">
      <c r="A1514" s="3" t="str">
        <f>"912.5/1//MASAOKA"</f>
        <v>912.5/1//MASAOKA</v>
      </c>
      <c r="B1514" s="3">
        <f>""</f>
      </c>
      <c r="C1514" s="3" t="str">
        <f>"艸の種 / 臨江亭.-- 八文字屋; 文化1(1804)年刊."</f>
        <v>艸の種 / 臨江亭.-- 八文字屋; 文化1(1804)年刊.</v>
      </c>
    </row>
    <row r="1515" spans="1:3" ht="11.25">
      <c r="A1515" s="3" t="str">
        <f>"912.5/2//MASAOKA"</f>
        <v>912.5/2//MASAOKA</v>
      </c>
      <c r="B1515" s="3">
        <f>""</f>
      </c>
      <c r="C1515" s="3" t="str">
        <f>"鏡やま / [著者不明].-- [製作者不明]; [製作年不明]."</f>
        <v>鏡やま / [著者不明].-- [製作者不明]; [製作年不明].</v>
      </c>
    </row>
    <row r="1516" spans="1:3" ht="11.25">
      <c r="A1516" s="3" t="str">
        <f>"912.5/3//MASAOKA"</f>
        <v>912.5/3//MASAOKA</v>
      </c>
      <c r="B1516" s="3">
        <f>""</f>
      </c>
      <c r="C1516" s="3" t="str">
        <f>"三十石[ヨフネ]始 / 並木正三著.-- [出版者不明]; [出版年不明]."</f>
        <v>三十石[ヨフネ]始 / 並木正三著.-- [出版者不明]; [出版年不明].</v>
      </c>
    </row>
    <row r="1517" spans="1:3" ht="11.25">
      <c r="A1517" s="3" t="str">
        <f>"913/1//MASAOKA"</f>
        <v>913/1//MASAOKA</v>
      </c>
      <c r="B1517" s="3">
        <f>""</f>
      </c>
      <c r="C1517" s="3" t="str">
        <f>"壇浦兜軍記 / [長谷川千四].-- 金桜堂; 明治24(1891)年8月.-- (名作三十六佳撰)."</f>
        <v>壇浦兜軍記 / [長谷川千四].-- 金桜堂; 明治24(1891)年8月.-- (名作三十六佳撰).</v>
      </c>
    </row>
    <row r="1518" spans="1:3" ht="11.25">
      <c r="A1518" s="3" t="str">
        <f>"913/2//MASAOKA"</f>
        <v>913/2//MASAOKA</v>
      </c>
      <c r="B1518" s="3">
        <f>""</f>
      </c>
      <c r="C1518" s="3" t="str">
        <f>"菅原伝授手習鑑 / 竹田出雲,並木千柳,三好松洛[ほか].-- 金桜堂; 明治24(1891)年4月.-- (名作三十六佳撰)."</f>
        <v>菅原伝授手習鑑 / 竹田出雲,並木千柳,三好松洛[ほか].-- 金桜堂; 明治24(1891)年4月.-- (名作三十六佳撰).</v>
      </c>
    </row>
    <row r="1519" spans="1:3" ht="11.25">
      <c r="A1519" s="3" t="str">
        <f>"913/3//MASAOKA"</f>
        <v>913/3//MASAOKA</v>
      </c>
      <c r="B1519" s="3">
        <f>""</f>
      </c>
      <c r="C1519" s="3" t="str">
        <f>"奥州安達原 / 竹田和泉,近松半二,北窓後一[ほか].-- 金桜堂; 明治24(1891)年6月.-- (名作三十六佳撰)."</f>
        <v>奥州安達原 / 竹田和泉,近松半二,北窓後一[ほか].-- 金桜堂; 明治24(1891)年6月.-- (名作三十六佳撰).</v>
      </c>
    </row>
    <row r="1520" spans="1:3" ht="11.25">
      <c r="A1520" s="3" t="str">
        <f>"913/4//MASAOKA"</f>
        <v>913/4//MASAOKA</v>
      </c>
      <c r="B1520" s="3">
        <f>""</f>
      </c>
      <c r="C1520" s="3" t="str">
        <f>"平假名盛衰記 : 逆櫓松矢箙梅 / 三好松洛, 浅田可啓, 竹田小出雲著.-- 金櫻堂; 1891.6.-- (名作三十六佳撰)."</f>
        <v>平假名盛衰記 : 逆櫓松矢箙梅 / 三好松洛, 浅田可啓, 竹田小出雲著.-- 金櫻堂; 1891.6.-- (名作三十六佳撰).</v>
      </c>
    </row>
    <row r="1521" spans="1:3" ht="11.25">
      <c r="A1521" s="3" t="str">
        <f>"913/5//MASAOKA"</f>
        <v>913/5//MASAOKA</v>
      </c>
      <c r="B1521" s="3">
        <f>""</f>
      </c>
      <c r="C1521" s="3" t="str">
        <f>"義経腰越状[ほか] / 座本豊竹越前少椽.-- 金桜堂; 明治25(1892)年7月.-- (名作三十六佳撰)."</f>
        <v>義経腰越状[ほか] / 座本豊竹越前少椽.-- 金桜堂; 明治25(1892)年7月.-- (名作三十六佳撰).</v>
      </c>
    </row>
    <row r="1522" spans="1:3" ht="11.25">
      <c r="A1522" s="3" t="str">
        <f>"913/6//MASAOKA"</f>
        <v>913/6//MASAOKA</v>
      </c>
      <c r="B1522" s="3">
        <f>""</f>
      </c>
      <c r="C1522" s="3" t="str">
        <f>"伽羅先代萩 / 松貫四,高橋武兵衛,吉田角丸.-- 金桜堂; 明治24(1891)年1月.-- (名作三十六佳撰)."</f>
        <v>伽羅先代萩 / 松貫四,高橋武兵衛,吉田角丸.-- 金桜堂; 明治24(1891)年1月.-- (名作三十六佳撰).</v>
      </c>
    </row>
    <row r="1523" spans="1:3" ht="11.25">
      <c r="A1523" s="3" t="str">
        <f>"913/7//MASAOKA"</f>
        <v>913/7//MASAOKA</v>
      </c>
      <c r="B1523" s="3">
        <f>""</f>
      </c>
      <c r="C1523" s="3" t="str">
        <f>"小野道風青柳硯 / 竹田出雲,近松半二,三好松洛[ほか].-- 金桜堂; 明治25(1892)年4月.-- (名作三十六佳撰)."</f>
        <v>小野道風青柳硯 / 竹田出雲,近松半二,三好松洛[ほか].-- 金桜堂; 明治25(1892)年4月.-- (名作三十六佳撰).</v>
      </c>
    </row>
    <row r="1524" spans="1:3" ht="11.25">
      <c r="A1524" s="3" t="str">
        <f>"913/8//MASAOKA"</f>
        <v>913/8//MASAOKA</v>
      </c>
      <c r="B1524" s="3">
        <f>""</f>
      </c>
      <c r="C1524" s="3" t="str">
        <f>"仮名手本忠臣蔵 / 竹田出雲[ほか].-- 金桜堂; 明治24(1891)年3月.-- (名作三十六佳撰)."</f>
        <v>仮名手本忠臣蔵 / 竹田出雲[ほか].-- 金桜堂; 明治24(1891)年3月.-- (名作三十六佳撰).</v>
      </c>
    </row>
    <row r="1525" spans="1:3" ht="11.25">
      <c r="A1525" s="3" t="str">
        <f>"913/9//MASAOKA"</f>
        <v>913/9//MASAOKA</v>
      </c>
      <c r="B1525" s="3">
        <f>""</f>
      </c>
      <c r="C1525" s="3" t="str">
        <f>"国姓爺合戦 / 近松門左衛門.-- 金桜堂; 明治25(1892)年1月.-- (名作三十六佳撰)."</f>
        <v>国姓爺合戦 / 近松門左衛門.-- 金桜堂; 明治25(1892)年1月.-- (名作三十六佳撰).</v>
      </c>
    </row>
    <row r="1526" spans="1:3" ht="11.25">
      <c r="A1526" s="3" t="str">
        <f>"913/10//MASAOKA"</f>
        <v>913/10//MASAOKA</v>
      </c>
      <c r="B1526" s="3">
        <f>""</f>
      </c>
      <c r="C1526" s="3" t="str">
        <f>"箱根霊験壁仇討 / 司馬芝叟.-- 金桜堂; 明治25(1892)年5月.-- (名作三十六佳撰)."</f>
        <v>箱根霊験壁仇討 / 司馬芝叟.-- 金桜堂; 明治25(1892)年5月.-- (名作三十六佳撰).</v>
      </c>
    </row>
    <row r="1527" spans="1:3" ht="11.25">
      <c r="A1527" s="3" t="str">
        <f>"913/11//MASAOKA"</f>
        <v>913/11//MASAOKA</v>
      </c>
      <c r="B1527" s="3">
        <f>""</f>
      </c>
      <c r="C1527" s="3" t="str">
        <f>"武田信玄・長尾謙信本朝廿四孝 / 近松半二,三好長洛,竹田因幡[ほか].-- 金桜堂; 明治24(1891)年4月.-- (名作三十六佳撰)."</f>
        <v>武田信玄・長尾謙信本朝廿四孝 / 近松半二,三好長洛,竹田因幡[ほか].-- 金桜堂; 明治24(1891)年4月.-- (名作三十六佳撰).</v>
      </c>
    </row>
    <row r="1528" spans="1:3" ht="11.25">
      <c r="A1528" s="3" t="str">
        <f>"913/12//MASAOKA"</f>
        <v>913/12//MASAOKA</v>
      </c>
      <c r="B1528" s="3">
        <f>""</f>
      </c>
      <c r="C1528" s="3" t="str">
        <f>"高師直塩谷判官太平記忠臣講釈 / 近松半二,三好松洛,竹田文吉[ほか].-- 金桜堂; 明治24(1891)年11月.-- (名作三十六佳撰)."</f>
        <v>高師直塩谷判官太平記忠臣講釈 / 近松半二,三好松洛,竹田文吉[ほか].-- 金桜堂; 明治24(1891)年11月.-- (名作三十六佳撰).</v>
      </c>
    </row>
    <row r="1529" spans="1:3" ht="11.25">
      <c r="A1529" s="3" t="str">
        <f>"913/13//MASAOKA"</f>
        <v>913/13//MASAOKA</v>
      </c>
      <c r="B1529" s="3">
        <f>""</f>
      </c>
      <c r="C1529" s="3" t="str">
        <f>"金毘羅利生記花上野誉の石碑 / しば叟,筒井半二,筒井半幸.-- 金桜堂; 明治24(1891)年12月.-- (名作三十六佳撰)."</f>
        <v>金毘羅利生記花上野誉の石碑 / しば叟,筒井半二,筒井半幸.-- 金桜堂; 明治24(1891)年12月.-- (名作三十六佳撰).</v>
      </c>
    </row>
    <row r="1530" spans="1:3" ht="11.25">
      <c r="A1530" s="3" t="str">
        <f>"913/14//MASAOKA"</f>
        <v>913/14//MASAOKA</v>
      </c>
      <c r="B1530" s="3">
        <f>""</f>
      </c>
      <c r="C1530" s="3" t="str">
        <f>"北條時頼記 / 西澤一風,並木宗助.-- 金桜堂; 明治24(1891)年11月.-- (名作三十六佳撰)."</f>
        <v>北條時頼記 / 西澤一風,並木宗助.-- 金桜堂; 明治24(1891)年11月.-- (名作三十六佳撰).</v>
      </c>
    </row>
    <row r="1531" spans="1:3" ht="11.25">
      <c r="A1531" s="3" t="str">
        <f>"913/15//MASAOKA"</f>
        <v>913/15//MASAOKA</v>
      </c>
      <c r="B1531" s="3">
        <f>""</f>
      </c>
      <c r="C1531" s="3" t="str">
        <f>"増補生写朝顔日記 / 山田案山子.-- 金桜堂; 明治24(1891)年1月.-- (名作三十六佳撰)."</f>
        <v>増補生写朝顔日記 / 山田案山子.-- 金桜堂; 明治24(1891)年1月.-- (名作三十六佳撰).</v>
      </c>
    </row>
    <row r="1532" spans="1:3" ht="11.25">
      <c r="A1532" s="3" t="str">
        <f>"913/16//MASAOKA"</f>
        <v>913/16//MASAOKA</v>
      </c>
      <c r="B1532" s="3">
        <f>""</f>
      </c>
      <c r="C1532" s="3" t="str">
        <f>"三日太平記 / 近松半二,三好松洛,八民平七[ほか].-- 金桜堂; 明治24(1891)年10月.-- (名作三十六佳撰)."</f>
        <v>三日太平記 / 近松半二,三好松洛,八民平七[ほか].-- 金桜堂; 明治24(1891)年10月.-- (名作三十六佳撰).</v>
      </c>
    </row>
    <row r="1533" spans="1:3" ht="11.25">
      <c r="A1533" s="3" t="str">
        <f>"913/17//MASAOKA"</f>
        <v>913/17//MASAOKA</v>
      </c>
      <c r="B1533" s="3">
        <f>""</f>
      </c>
      <c r="C1533" s="3" t="str">
        <f>"妹背山婦女庭訓 / 近松半二,松田ばく,栄善平[ほか].-- 金桜堂; 明治24(1891)年5月.-- (名作三十六佳撰)."</f>
        <v>妹背山婦女庭訓 / 近松半二,松田ばく,栄善平[ほか].-- 金桜堂; 明治24(1891)年5月.-- (名作三十六佳撰).</v>
      </c>
    </row>
    <row r="1534" spans="1:3" ht="11.25">
      <c r="A1534" s="3" t="str">
        <f>"913/18//MASAOKA"</f>
        <v>913/18//MASAOKA</v>
      </c>
      <c r="B1534" s="3">
        <f>""</f>
      </c>
      <c r="C1534" s="3" t="str">
        <f>"太平記菊水之巻 : 南朝正平四年北朝貞和五年 / 竹田小出雲[ほか]著.-- 金楼堂; 1892.6.-- (名作三十六佳撰)."</f>
        <v>太平記菊水之巻 : 南朝正平四年北朝貞和五年 / 竹田小出雲[ほか]著.-- 金楼堂; 1892.6.-- (名作三十六佳撰).</v>
      </c>
    </row>
    <row r="1535" spans="1:3" ht="11.25">
      <c r="A1535" s="3" t="str">
        <f>"913/19//MASAOKA"</f>
        <v>913/19//MASAOKA</v>
      </c>
      <c r="B1535" s="3">
        <f>""</f>
      </c>
      <c r="C1535" s="3" t="str">
        <f>"蝶花形名歌島台 / 若竹笛身,中村魚眼.-- 金桜堂; 明治24(1891)年8月.-- (名作三十六佳撰)."</f>
        <v>蝶花形名歌島台 / 若竹笛身,中村魚眼.-- 金桜堂; 明治24(1891)年8月.-- (名作三十六佳撰).</v>
      </c>
    </row>
    <row r="1536" spans="1:3" ht="11.25">
      <c r="A1536" s="3" t="str">
        <f>"913/20//MASAOKA"</f>
        <v>913/20//MASAOKA</v>
      </c>
      <c r="B1536" s="3">
        <f>""</f>
      </c>
      <c r="C1536" s="3" t="str">
        <f>"伊賀越道中雙六 / 近松半二,近松加作.-- 金桜堂; 明治24(1891)年10月.-- (名作三十六佳撰)."</f>
        <v>伊賀越道中雙六 / 近松半二,近松加作.-- 金桜堂; 明治24(1891)年10月.-- (名作三十六佳撰).</v>
      </c>
    </row>
    <row r="1537" spans="1:3" ht="11.25">
      <c r="A1537" s="3" t="str">
        <f>"913/21//MASAOKA"</f>
        <v>913/21//MASAOKA</v>
      </c>
      <c r="B1537" s="3">
        <f>""</f>
      </c>
      <c r="C1537" s="3" t="str">
        <f>"絵本太閤記 / 近松やなぎ,近松湖水軒[ほか].-- 金桜堂; 明治23(1890)年12月.-- (名作三十六佳撰)."</f>
        <v>絵本太閤記 / 近松やなぎ,近松湖水軒[ほか].-- 金桜堂; 明治23(1890)年12月.-- (名作三十六佳撰).</v>
      </c>
    </row>
    <row r="1538" spans="1:3" ht="11.25">
      <c r="A1538" s="3" t="str">
        <f>"913/22//MASAOKA"</f>
        <v>913/22//MASAOKA</v>
      </c>
      <c r="B1538" s="3">
        <f>""</f>
      </c>
      <c r="C1538" s="3" t="str">
        <f>"彦山権現誓助剱 / 梅野下風,近松保蔵.-- 金桜堂; 明治24(1891)年9月.-- (名作三十六佳撰)."</f>
        <v>彦山権現誓助剱 / 梅野下風,近松保蔵.-- 金桜堂; 明治24(1891)年9月.-- (名作三十六佳撰).</v>
      </c>
    </row>
    <row r="1539" spans="1:3" ht="11.25">
      <c r="A1539" s="3" t="str">
        <f>"913/23//MASAOKA"</f>
        <v>913/23//MASAOKA</v>
      </c>
      <c r="B1539" s="3">
        <f>""</f>
      </c>
      <c r="C1539" s="3" t="str">
        <f>"一の谷[フタバ]軍記 / 並木宗助,浅田一島[ほか].-- 金桜堂; 明治24(1891)年6月.-- (名作三十六佳撰)."</f>
        <v>一の谷[フタバ]軍記 / 並木宗助,浅田一島[ほか].-- 金桜堂; 明治24(1891)年6月.-- (名作三十六佳撰).</v>
      </c>
    </row>
    <row r="1540" spans="1:3" ht="11.25">
      <c r="A1540" s="3" t="str">
        <f>"913/24//MASAOKA"</f>
        <v>913/24//MASAOKA</v>
      </c>
      <c r="B1540" s="3">
        <f>""</f>
      </c>
      <c r="C1540" s="3" t="str">
        <f>"平家物語 / 高井蘭山述 ; 全.-- 金桜堂; 明治19(1886)年11月."</f>
        <v>平家物語 / 高井蘭山述 ; 全.-- 金桜堂; 明治19(1886)年11月.</v>
      </c>
    </row>
    <row r="1541" spans="1:3" ht="11.25">
      <c r="A1541" s="3" t="str">
        <f>"913/25//MASAOKA"</f>
        <v>913/25//MASAOKA</v>
      </c>
      <c r="B1541" s="3">
        <f>""</f>
      </c>
      <c r="C1541" s="3" t="str">
        <f>"標註異本曽我物語 / 生田目経徳校 ; 全.-- 金港堂; 明治24(1891)年9月."</f>
        <v>標註異本曽我物語 / 生田目経徳校 ; 全.-- 金港堂; 明治24(1891)年9月.</v>
      </c>
    </row>
    <row r="1542" spans="1:3" ht="11.25">
      <c r="A1542" s="3" t="str">
        <f>"913/26/1/MASAOKA"</f>
        <v>913/26/1/MASAOKA</v>
      </c>
      <c r="B1542" s="3" t="str">
        <f>"第1号"</f>
        <v>第1号</v>
      </c>
      <c r="C1542" s="3" t="str">
        <f>"幕府時代小説叢書 / 中川勝能編 ; 第1-3号 - 第3号.-- 聚芳社; 明治23(1890)年."</f>
        <v>幕府時代小説叢書 / 中川勝能編 ; 第1-3号 - 第3号.-- 聚芳社; 明治23(1890)年.</v>
      </c>
    </row>
    <row r="1543" spans="1:3" ht="11.25">
      <c r="A1543" s="3" t="str">
        <f>"913/26/2/MASAOKA"</f>
        <v>913/26/2/MASAOKA</v>
      </c>
      <c r="B1543" s="3" t="str">
        <f>"第2号"</f>
        <v>第2号</v>
      </c>
      <c r="C1543" s="3" t="str">
        <f>"幕府時代小説叢書 / 中川勝能編 ; 第1-3号 - 第3号.-- 聚芳社; 明治23(1890)年."</f>
        <v>幕府時代小説叢書 / 中川勝能編 ; 第1-3号 - 第3号.-- 聚芳社; 明治23(1890)年.</v>
      </c>
    </row>
    <row r="1544" spans="1:3" ht="11.25">
      <c r="A1544" s="3" t="str">
        <f>"913/26/3/MASAOKA"</f>
        <v>913/26/3/MASAOKA</v>
      </c>
      <c r="B1544" s="3" t="str">
        <f>"第3号"</f>
        <v>第3号</v>
      </c>
      <c r="C1544" s="3" t="str">
        <f>"幕府時代小説叢書 / 中川勝能編 ; 第1-3号 - 第3号.-- 聚芳社; 明治23(1890)年."</f>
        <v>幕府時代小説叢書 / 中川勝能編 ; 第1-3号 - 第3号.-- 聚芳社; 明治23(1890)年.</v>
      </c>
    </row>
    <row r="1545" spans="1:3" ht="11.25">
      <c r="A1545" s="3" t="str">
        <f>"913/27//MASAOKA"</f>
        <v>913/27//MASAOKA</v>
      </c>
      <c r="B1545" s="3">
        <f>""</f>
      </c>
      <c r="C1545" s="3" t="str">
        <f>"新磨妹と背鏡 / 坪内雄蔵著 ; 2-7,9号.-- 兒玉永成; 明治19(1886)年."</f>
        <v>新磨妹と背鏡 / 坪内雄蔵著 ; 2-7,9号.-- 兒玉永成; 明治19(1886)年.</v>
      </c>
    </row>
    <row r="1546" spans="1:3" ht="11.25">
      <c r="A1546" s="3" t="str">
        <f>"913/28//MASAOKA"</f>
        <v>913/28//MASAOKA</v>
      </c>
      <c r="B1546" s="3">
        <f>""</f>
      </c>
      <c r="C1546" s="3" t="str">
        <f>"一読三歎当世書生気質 / [坪内雄蔵].-- 晩青堂; 明治18(1885)年."</f>
        <v>一読三歎当世書生気質 / [坪内雄蔵].-- 晩青堂; 明治18(1885)年.</v>
      </c>
    </row>
    <row r="1547" spans="1:3" ht="11.25">
      <c r="A1547" s="3" t="str">
        <f>"913/29//MASAOKA"</f>
        <v>913/29//MASAOKA</v>
      </c>
      <c r="B1547" s="3">
        <f>""</f>
      </c>
      <c r="C1547" s="3" t="str">
        <f>"小説史稿 / 関根正直著.-- 金港堂本店; 明治23(1890)年4月."</f>
        <v>小説史稿 / 関根正直著.-- 金港堂本店; 明治23(1890)年4月.</v>
      </c>
    </row>
    <row r="1548" spans="1:3" ht="11.25">
      <c r="A1548" s="3" t="str">
        <f>"913/30/1/MASAOKA"</f>
        <v>913/30/1/MASAOKA</v>
      </c>
      <c r="B1548" s="3" t="str">
        <f>"第1編"</f>
        <v>第1編</v>
      </c>
      <c r="C1548" s="3" t="str">
        <f aca="true" t="shared" si="32" ref="C1548:C1554">"訂正増註源氏物語湖月抄 / 紫式部[原著],猪熊夏樹増註訂正 ; 第1-7編 - 第7編.-- 大阪図書出版; 明治23-24(1890-1891)年."</f>
        <v>訂正増註源氏物語湖月抄 / 紫式部[原著],猪熊夏樹増註訂正 ; 第1-7編 - 第7編.-- 大阪図書出版; 明治23-24(1890-1891)年.</v>
      </c>
    </row>
    <row r="1549" spans="1:3" ht="11.25">
      <c r="A1549" s="3" t="str">
        <f>"913/30/2/MASAOKA"</f>
        <v>913/30/2/MASAOKA</v>
      </c>
      <c r="B1549" s="3" t="str">
        <f>"第2編"</f>
        <v>第2編</v>
      </c>
      <c r="C1549" s="3" t="str">
        <f t="shared" si="32"/>
        <v>訂正増註源氏物語湖月抄 / 紫式部[原著],猪熊夏樹増註訂正 ; 第1-7編 - 第7編.-- 大阪図書出版; 明治23-24(1890-1891)年.</v>
      </c>
    </row>
    <row r="1550" spans="1:3" ht="11.25">
      <c r="A1550" s="3" t="str">
        <f>"913/30/3/MASAOKA"</f>
        <v>913/30/3/MASAOKA</v>
      </c>
      <c r="B1550" s="3" t="str">
        <f>"第3編"</f>
        <v>第3編</v>
      </c>
      <c r="C1550" s="3" t="str">
        <f t="shared" si="32"/>
        <v>訂正増註源氏物語湖月抄 / 紫式部[原著],猪熊夏樹増註訂正 ; 第1-7編 - 第7編.-- 大阪図書出版; 明治23-24(1890-1891)年.</v>
      </c>
    </row>
    <row r="1551" spans="1:3" ht="11.25">
      <c r="A1551" s="3" t="str">
        <f>"913/30/4/MASAOKA"</f>
        <v>913/30/4/MASAOKA</v>
      </c>
      <c r="B1551" s="3" t="str">
        <f>"第4編"</f>
        <v>第4編</v>
      </c>
      <c r="C1551" s="3" t="str">
        <f t="shared" si="32"/>
        <v>訂正増註源氏物語湖月抄 / 紫式部[原著],猪熊夏樹増註訂正 ; 第1-7編 - 第7編.-- 大阪図書出版; 明治23-24(1890-1891)年.</v>
      </c>
    </row>
    <row r="1552" spans="1:3" ht="11.25">
      <c r="A1552" s="3" t="str">
        <f>"913/30/5/MASAOKA"</f>
        <v>913/30/5/MASAOKA</v>
      </c>
      <c r="B1552" s="3" t="str">
        <f>"第5編"</f>
        <v>第5編</v>
      </c>
      <c r="C1552" s="3" t="str">
        <f t="shared" si="32"/>
        <v>訂正増註源氏物語湖月抄 / 紫式部[原著],猪熊夏樹増註訂正 ; 第1-7編 - 第7編.-- 大阪図書出版; 明治23-24(1890-1891)年.</v>
      </c>
    </row>
    <row r="1553" spans="1:3" ht="11.25">
      <c r="A1553" s="3" t="str">
        <f>"913/30/6/MASAOKA"</f>
        <v>913/30/6/MASAOKA</v>
      </c>
      <c r="B1553" s="3" t="str">
        <f>"第6編"</f>
        <v>第6編</v>
      </c>
      <c r="C1553" s="3" t="str">
        <f t="shared" si="32"/>
        <v>訂正増註源氏物語湖月抄 / 紫式部[原著],猪熊夏樹増註訂正 ; 第1-7編 - 第7編.-- 大阪図書出版; 明治23-24(1890-1891)年.</v>
      </c>
    </row>
    <row r="1554" spans="1:3" ht="11.25">
      <c r="A1554" s="3" t="str">
        <f>"913/30/7/MASAOKA"</f>
        <v>913/30/7/MASAOKA</v>
      </c>
      <c r="B1554" s="3" t="str">
        <f>"第7編"</f>
        <v>第7編</v>
      </c>
      <c r="C1554" s="3" t="str">
        <f t="shared" si="32"/>
        <v>訂正増註源氏物語湖月抄 / 紫式部[原著],猪熊夏樹増註訂正 ; 第1-7編 - 第7編.-- 大阪図書出版; 明治23-24(1890-1891)年.</v>
      </c>
    </row>
    <row r="1555" spans="1:3" ht="11.25">
      <c r="A1555" s="3" t="str">
        <f>"913/31//MASAOKA"</f>
        <v>913/31//MASAOKA</v>
      </c>
      <c r="B1555" s="3">
        <f>""</f>
      </c>
      <c r="C1555" s="3" t="str">
        <f>"訂正増註源氏物語湖月抄 / 紫式部[原著],猪熊夏樹増註訂正 ; 首.-- 第2版.-- 大阪図書出版; 明治24(1891)年."</f>
        <v>訂正増註源氏物語湖月抄 / 紫式部[原著],猪熊夏樹増註訂正 ; 首.-- 第2版.-- 大阪図書出版; 明治24(1891)年.</v>
      </c>
    </row>
    <row r="1556" spans="1:3" ht="11.25">
      <c r="A1556" s="3" t="str">
        <f>"913/32//MASAOKA"</f>
        <v>913/32//MASAOKA</v>
      </c>
      <c r="B1556" s="3">
        <f>""</f>
      </c>
      <c r="C1556" s="3" t="str">
        <f>"萬の文反古 / 井原西鶴 ; 全.-- 金桜堂; 明治24(1891)年3月."</f>
        <v>萬の文反古 / 井原西鶴 ; 全.-- 金桜堂; 明治24(1891)年3月.</v>
      </c>
    </row>
    <row r="1557" spans="1:3" ht="11.25">
      <c r="A1557" s="3" t="str">
        <f>"913/33/1/MASAOKA"</f>
        <v>913/33/1/MASAOKA</v>
      </c>
      <c r="B1557" s="3" t="str">
        <f>"上"</f>
        <v>上</v>
      </c>
      <c r="C1557" s="3" t="str">
        <f>"小夜嵐物語 / 井原西鶴 ; 上・中・下 - 下.-- 金桜堂; 明治24(1891)年3-6月."</f>
        <v>小夜嵐物語 / 井原西鶴 ; 上・中・下 - 下.-- 金桜堂; 明治24(1891)年3-6月.</v>
      </c>
    </row>
    <row r="1558" spans="1:3" ht="11.25">
      <c r="A1558" s="3" t="str">
        <f>"913/33/2/MASAOKA"</f>
        <v>913/33/2/MASAOKA</v>
      </c>
      <c r="B1558" s="3" t="str">
        <f>"中"</f>
        <v>中</v>
      </c>
      <c r="C1558" s="3" t="str">
        <f>"小夜嵐物語 / 井原西鶴 ; 上・中・下 - 下.-- 金桜堂; 明治24(1891)年3-6月."</f>
        <v>小夜嵐物語 / 井原西鶴 ; 上・中・下 - 下.-- 金桜堂; 明治24(1891)年3-6月.</v>
      </c>
    </row>
    <row r="1559" spans="1:3" ht="11.25">
      <c r="A1559" s="3" t="str">
        <f>"913/33/3/MASAOKA"</f>
        <v>913/33/3/MASAOKA</v>
      </c>
      <c r="B1559" s="3" t="str">
        <f>"下"</f>
        <v>下</v>
      </c>
      <c r="C1559" s="3" t="str">
        <f>"小夜嵐物語 / 井原西鶴 ; 上・中・下 - 下.-- 金桜堂; 明治24(1891)年3-6月."</f>
        <v>小夜嵐物語 / 井原西鶴 ; 上・中・下 - 下.-- 金桜堂; 明治24(1891)年3-6月.</v>
      </c>
    </row>
    <row r="1560" spans="1:3" ht="11.25">
      <c r="A1560" s="3" t="str">
        <f>"913/34//MASAOKA"</f>
        <v>913/34//MASAOKA</v>
      </c>
      <c r="B1560" s="3">
        <f>""</f>
      </c>
      <c r="C1560" s="3" t="str">
        <f>"傾城買二筋道 / 梅暮里谷峨.-- 武蔵屋叢書閣[ほか1軒]; 明治25(1892)年6月."</f>
        <v>傾城買二筋道 / 梅暮里谷峨.-- 武蔵屋叢書閣[ほか1軒]; 明治25(1892)年6月.</v>
      </c>
    </row>
    <row r="1561" spans="1:3" ht="11.25">
      <c r="A1561" s="3" t="str">
        <f>"913/35//MASAOKA"</f>
        <v>913/35//MASAOKA</v>
      </c>
      <c r="B1561" s="3">
        <f>""</f>
      </c>
      <c r="C1561" s="3" t="str">
        <f>"好色一代男 / 井原西鶴.-- 武蔵屋叢書閣; 明治24(1891)年1月."</f>
        <v>好色一代男 / 井原西鶴.-- 武蔵屋叢書閣; 明治24(1891)年1月.</v>
      </c>
    </row>
    <row r="1562" spans="1:3" ht="11.25">
      <c r="A1562" s="3" t="str">
        <f>"913/36//MASAOKA"</f>
        <v>913/36//MASAOKA</v>
      </c>
      <c r="B1562" s="3">
        <f>""</f>
      </c>
      <c r="C1562" s="3" t="str">
        <f>"好色五人女 / 井原西鶴.-- 武蔵屋叢書閣; 明治23(1890)年12月."</f>
        <v>好色五人女 / 井原西鶴.-- 武蔵屋叢書閣; 明治23(1890)年12月.</v>
      </c>
    </row>
    <row r="1563" spans="1:3" ht="11.25">
      <c r="A1563" s="3" t="str">
        <f>"913/37//MASAOKA"</f>
        <v>913/37//MASAOKA</v>
      </c>
      <c r="B1563" s="3">
        <f>""</f>
      </c>
      <c r="C1563" s="3" t="str">
        <f>"高砂大島台 / 其碩,自笑 ; 全.-- 礫川出版会社; 明治25(1892)年2月.-- (温右小説)."</f>
        <v>高砂大島台 / 其碩,自笑 ; 全.-- 礫川出版会社; 明治25(1892)年2月.-- (温右小説).</v>
      </c>
    </row>
    <row r="1564" spans="1:3" ht="11.25">
      <c r="A1564" s="3" t="str">
        <f>"913/38//MASAOKA"</f>
        <v>913/38//MASAOKA</v>
      </c>
      <c r="B1564" s="3">
        <f>""</f>
      </c>
      <c r="C1564" s="3" t="str">
        <f>"世間手代気質 / 其碩 ; 全.-- 礫川出版会社; 明治25(1892)年2月.-- (温右小説)."</f>
        <v>世間手代気質 / 其碩 ; 全.-- 礫川出版会社; 明治25(1892)年2月.-- (温右小説).</v>
      </c>
    </row>
    <row r="1565" spans="1:3" ht="11.25">
      <c r="A1565" s="3" t="str">
        <f>"913/39//MASAOKA"</f>
        <v>913/39//MASAOKA</v>
      </c>
      <c r="B1565" s="3">
        <f>""</f>
      </c>
      <c r="C1565" s="3" t="str">
        <f>"女非人綴錦 / 自笑,其碩 ; 全.-- 礫川出版会社; 明治25(1892)年3月.-- (温右小説)."</f>
        <v>女非人綴錦 / 自笑,其碩 ; 全.-- 礫川出版会社; 明治25(1892)年3月.-- (温右小説).</v>
      </c>
    </row>
    <row r="1566" spans="1:3" ht="11.25">
      <c r="A1566" s="3" t="str">
        <f>"913/40//MASAOKA"</f>
        <v>913/40//MASAOKA</v>
      </c>
      <c r="B1566" s="3">
        <f>""</f>
      </c>
      <c r="C1566" s="3" t="str">
        <f>"歳徳五葉松 / 其碩,瑞笑.-- 礫川出版会社; 明治25(1892)年3月.-- (温右小説)."</f>
        <v>歳徳五葉松 / 其碩,瑞笑.-- 礫川出版会社; 明治25(1892)年3月.-- (温右小説).</v>
      </c>
    </row>
    <row r="1567" spans="1:3" ht="11.25">
      <c r="A1567" s="3" t="str">
        <f>"913/41//MASAOKA"</f>
        <v>913/41//MASAOKA</v>
      </c>
      <c r="B1567" s="3">
        <f>""</f>
      </c>
      <c r="C1567" s="3" t="str">
        <f>"男色大鑑 : 本朝若風俗 / [井原西鶴著] 尾崎徳太郎訂正.-- 古書保存会; 明治24(1891)年2月.-- (惜玉文庫 ; 巻之1)."</f>
        <v>男色大鑑 : 本朝若風俗 / [井原西鶴著] 尾崎徳太郎訂正.-- 古書保存会; 明治24(1891)年2月.-- (惜玉文庫 ; 巻之1).</v>
      </c>
    </row>
    <row r="1568" spans="1:3" ht="11.25">
      <c r="A1568" s="3" t="str">
        <f>"913/42//MASAOKA"</f>
        <v>913/42//MASAOKA</v>
      </c>
      <c r="B1568" s="3" t="str">
        <f>"上"</f>
        <v>上</v>
      </c>
      <c r="C1568" s="3" t="str">
        <f>"義經記 / 芹澤利右衛門編 ; 上, 下.-- 古書保存會; 1891.-- (國民文庫 ; 卷1,2)."</f>
        <v>義經記 / 芹澤利右衛門編 ; 上, 下.-- 古書保存會; 1891.-- (國民文庫 ; 卷1,2).</v>
      </c>
    </row>
    <row r="1569" spans="1:3" ht="11.25">
      <c r="A1569" s="3" t="str">
        <f>"913/43//MASAOKA"</f>
        <v>913/43//MASAOKA</v>
      </c>
      <c r="B1569" s="3">
        <f>""</f>
      </c>
      <c r="C1569" s="3" t="str">
        <f>"蒟蒻本 / 小河原浅松編.-- 暁鏡閣; 明治24(1891)年6月."</f>
        <v>蒟蒻本 / 小河原浅松編.-- 暁鏡閣; 明治24(1891)年6月.</v>
      </c>
    </row>
    <row r="1570" spans="1:3" ht="11.25">
      <c r="A1570" s="3" t="str">
        <f>"913/44/1/MASAOKA"</f>
        <v>913/44/1/MASAOKA</v>
      </c>
      <c r="B1570" s="3" t="str">
        <f>"1巻"</f>
        <v>1巻</v>
      </c>
      <c r="C1570" s="3" t="str">
        <f>"名著集 / 曲亭馬琴,松亭金水 ; 1巻.-- 礫川出版会社; 明治24(1891)年2月.-- (古今小説)."</f>
        <v>名著集 / 曲亭馬琴,松亭金水 ; 1巻.-- 礫川出版会社; 明治24(1891)年2月.-- (古今小説).</v>
      </c>
    </row>
    <row r="1571" spans="1:3" ht="11.25">
      <c r="A1571" s="3" t="str">
        <f>"913/44/2/MASAOKA"</f>
        <v>913/44/2/MASAOKA</v>
      </c>
      <c r="B1571" s="3" t="str">
        <f>"2巻"</f>
        <v>2巻</v>
      </c>
      <c r="C1571" s="3" t="str">
        <f>"名著集 / 曲亭馬琴,式亭三馬 ; 2巻.-- 礫川出版会社; 明治24(1891)年3月.-- (古今小説)."</f>
        <v>名著集 / 曲亭馬琴,式亭三馬 ; 2巻.-- 礫川出版会社; 明治24(1891)年3月.-- (古今小説).</v>
      </c>
    </row>
    <row r="1572" spans="1:3" ht="11.25">
      <c r="A1572" s="3" t="str">
        <f>"913/44/3/MASAOKA"</f>
        <v>913/44/3/MASAOKA</v>
      </c>
      <c r="B1572" s="3" t="str">
        <f>"3巻"</f>
        <v>3巻</v>
      </c>
      <c r="C1572" s="3" t="str">
        <f>"名著集 / 山東京伝,柳亭種彦 ; 3巻.-- 礫川出版会社; 明治24(1891)年3月.-- (古今小説)."</f>
        <v>名著集 / 山東京伝,柳亭種彦 ; 3巻.-- 礫川出版会社; 明治24(1891)年3月.-- (古今小説).</v>
      </c>
    </row>
    <row r="1573" spans="1:3" ht="11.25">
      <c r="A1573" s="3" t="str">
        <f>"913/44/4/MASAOKA"</f>
        <v>913/44/4/MASAOKA</v>
      </c>
      <c r="B1573" s="3" t="str">
        <f>"4巻"</f>
        <v>4巻</v>
      </c>
      <c r="C1573" s="3" t="str">
        <f>"名著集 / 柳亭種彦,十返舎一九 ; 4巻.-- 礫川出版会社; 明治24(1891)年4月.-- (古今小説)."</f>
        <v>名著集 / 柳亭種彦,十返舎一九 ; 4巻.-- 礫川出版会社; 明治24(1891)年4月.-- (古今小説).</v>
      </c>
    </row>
    <row r="1574" spans="1:3" ht="11.25">
      <c r="A1574" s="3" t="str">
        <f>"913/44/5/MASAOKA"</f>
        <v>913/44/5/MASAOKA</v>
      </c>
      <c r="B1574" s="3" t="str">
        <f>"5巻"</f>
        <v>5巻</v>
      </c>
      <c r="C1574" s="3" t="str">
        <f>"名著集 / 洞羅山人,狂訓亭主人 ; 5巻.-- 礫川出版会社; 明治24(1891)年4月.-- (古今小説)."</f>
        <v>名著集 / 洞羅山人,狂訓亭主人 ; 5巻.-- 礫川出版会社; 明治24(1891)年4月.-- (古今小説).</v>
      </c>
    </row>
    <row r="1575" spans="1:3" ht="11.25">
      <c r="A1575" s="3" t="str">
        <f>"913/44/6/MASAOKA"</f>
        <v>913/44/6/MASAOKA</v>
      </c>
      <c r="B1575" s="3" t="str">
        <f>"6巻"</f>
        <v>6巻</v>
      </c>
      <c r="C1575" s="3" t="str">
        <f>"名著集 / 曲亭馬琴,鼻山人 ; 6巻.-- 礫川出版会社; 明治24(1891)年5月.-- (古今小説)."</f>
        <v>名著集 / 曲亭馬琴,鼻山人 ; 6巻.-- 礫川出版会社; 明治24(1891)年5月.-- (古今小説).</v>
      </c>
    </row>
    <row r="1576" spans="1:3" ht="11.25">
      <c r="A1576" s="3" t="str">
        <f>"913/44/7/MASAOKA"</f>
        <v>913/44/7/MASAOKA</v>
      </c>
      <c r="B1576" s="3" t="str">
        <f>"7巻"</f>
        <v>7巻</v>
      </c>
      <c r="C1576" s="3" t="str">
        <f>"名著集 / 六樹園,柳亭種彦 ; 7巻.-- 礫川出版会社; 明治24(1891)年5月.-- (古今小説)."</f>
        <v>名著集 / 六樹園,柳亭種彦 ; 7巻.-- 礫川出版会社; 明治24(1891)年5月.-- (古今小説).</v>
      </c>
    </row>
    <row r="1577" spans="1:3" ht="11.25">
      <c r="A1577" s="3" t="str">
        <f>"913/44/8/MASAOKA"</f>
        <v>913/44/8/MASAOKA</v>
      </c>
      <c r="B1577" s="3" t="str">
        <f>"8巻"</f>
        <v>8巻</v>
      </c>
      <c r="C1577" s="3" t="str">
        <f>"古今小説名著集 / [セツ]離陳人,朧月亭有人 ; 8巻.-- 礫石出版会社; 明治24(1891)年6月."</f>
        <v>古今小説名著集 / [セツ]離陳人,朧月亭有人 ; 8巻.-- 礫石出版会社; 明治24(1891)年6月.</v>
      </c>
    </row>
    <row r="1578" spans="1:3" ht="11.25">
      <c r="A1578" s="3" t="str">
        <f>"913/44/9/MASAOKA"</f>
        <v>913/44/9/MASAOKA</v>
      </c>
      <c r="B1578" s="3" t="str">
        <f>"9巻"</f>
        <v>9巻</v>
      </c>
      <c r="C1578" s="3" t="str">
        <f>"名著集 / 曲亭馬琴,芽停平魚 ; 9巻.-- 礫川出版会社; 明治24(1891)年6月.-- (古今小説)."</f>
        <v>名著集 / 曲亭馬琴,芽停平魚 ; 9巻.-- 礫川出版会社; 明治24(1891)年6月.-- (古今小説).</v>
      </c>
    </row>
    <row r="1579" spans="1:3" ht="11.25">
      <c r="A1579" s="3" t="str">
        <f>"913/44/10/MASAOKA"</f>
        <v>913/44/10/MASAOKA</v>
      </c>
      <c r="B1579" s="3" t="str">
        <f>"10巻"</f>
        <v>10巻</v>
      </c>
      <c r="C1579" s="3" t="str">
        <f>"名著集 / 柳亭種彦,井原西鶴 ; 10巻.-- 礫川出版会社; 明治24(1891)年7月.-- (古今小説)."</f>
        <v>名著集 / 柳亭種彦,井原西鶴 ; 10巻.-- 礫川出版会社; 明治24(1891)年7月.-- (古今小説).</v>
      </c>
    </row>
    <row r="1580" spans="1:3" ht="11.25">
      <c r="A1580" s="3" t="str">
        <f>"913/44/11/MASAOKA"</f>
        <v>913/44/11/MASAOKA</v>
      </c>
      <c r="B1580" s="3" t="str">
        <f>"11巻"</f>
        <v>11巻</v>
      </c>
      <c r="C1580" s="3" t="str">
        <f>"名著集 / 山東京伝,曲亭馬琴 ; 11巻.-- 礫川出版会社; 明治24(1891)年7月.-- (古今小説)."</f>
        <v>名著集 / 山東京伝,曲亭馬琴 ; 11巻.-- 礫川出版会社; 明治24(1891)年7月.-- (古今小説).</v>
      </c>
    </row>
    <row r="1581" spans="1:3" ht="11.25">
      <c r="A1581" s="3" t="str">
        <f>"913/44/12/MASAOKA"</f>
        <v>913/44/12/MASAOKA</v>
      </c>
      <c r="B1581" s="3" t="str">
        <f>"12巻"</f>
        <v>12巻</v>
      </c>
      <c r="C1581" s="3" t="str">
        <f>"名著集 / 曲亭馬琴 ; 12巻.-- 礫川出版会社; 明治24(1891)年8月.-- (古今小説)."</f>
        <v>名著集 / 曲亭馬琴 ; 12巻.-- 礫川出版会社; 明治24(1891)年8月.-- (古今小説).</v>
      </c>
    </row>
    <row r="1582" spans="1:3" ht="11.25">
      <c r="A1582" s="3" t="str">
        <f>"913/44/13/MASAOKA"</f>
        <v>913/44/13/MASAOKA</v>
      </c>
      <c r="B1582" s="3" t="str">
        <f>"13巻"</f>
        <v>13巻</v>
      </c>
      <c r="C1582" s="3" t="str">
        <f>"名著集 / 柳亭種彦,其碩,其笑 ; 13巻.-- 礫川出版会社; 明治24(1891)年8月.-- (古今小説)."</f>
        <v>名著集 / 柳亭種彦,其碩,其笑 ; 13巻.-- 礫川出版会社; 明治24(1891)年8月.-- (古今小説).</v>
      </c>
    </row>
    <row r="1583" spans="1:3" ht="11.25">
      <c r="A1583" s="3" t="str">
        <f>"913/44/14/MASAOKA"</f>
        <v>913/44/14/MASAOKA</v>
      </c>
      <c r="B1583" s="3" t="str">
        <f>"14巻"</f>
        <v>14巻</v>
      </c>
      <c r="C1583" s="3" t="str">
        <f>"名著集 / 松亭金水,義端 ; 14巻.-- 礫川出版会社; 明治24(1891)年9月.-- (古今小説)."</f>
        <v>名著集 / 松亭金水,義端 ; 14巻.-- 礫川出版会社; 明治24(1891)年9月.-- (古今小説).</v>
      </c>
    </row>
    <row r="1584" spans="1:3" ht="11.25">
      <c r="A1584" s="3" t="str">
        <f>"913/44/15/MASAOKA"</f>
        <v>913/44/15/MASAOKA</v>
      </c>
      <c r="B1584" s="3" t="str">
        <f>"15巻"</f>
        <v>15巻</v>
      </c>
      <c r="C1584" s="3" t="str">
        <f>"名著集 / 笠亭仙果,慙雪舎素及子 ; 15巻.-- 礫川出版会社; 明治24(1891)年9月.-- (古今小説)."</f>
        <v>名著集 / 笠亭仙果,慙雪舎素及子 ; 15巻.-- 礫川出版会社; 明治24(1891)年9月.-- (古今小説).</v>
      </c>
    </row>
    <row r="1585" spans="1:3" ht="11.25">
      <c r="A1585" s="3" t="str">
        <f>"913/44/16/MASAOKA"</f>
        <v>913/44/16/MASAOKA</v>
      </c>
      <c r="B1585" s="3" t="str">
        <f>"16巻"</f>
        <v>16巻</v>
      </c>
      <c r="C1585" s="3" t="str">
        <f>"名著集 / 山東京伝,曲亭馬琴,感和亭鬼武 ; 16巻.-- 礫川出版会社; 明治24(1891)年10月.-- (古今小説)."</f>
        <v>名著集 / 山東京伝,曲亭馬琴,感和亭鬼武 ; 16巻.-- 礫川出版会社; 明治24(1891)年10月.-- (古今小説).</v>
      </c>
    </row>
    <row r="1586" spans="1:3" ht="11.25">
      <c r="A1586" s="3" t="str">
        <f>"913/44/17/MASAOKA"</f>
        <v>913/44/17/MASAOKA</v>
      </c>
      <c r="B1586" s="3" t="str">
        <f>"17巻"</f>
        <v>17巻</v>
      </c>
      <c r="C1586" s="3" t="str">
        <f>"名著集 / 振鷺亭主人,十返舎一九 ; 17巻.-- 礫川出版会社; 明治24(1891)年10月.-- (古今小説)."</f>
        <v>名著集 / 振鷺亭主人,十返舎一九 ; 17巻.-- 礫川出版会社; 明治24(1891)年10月.-- (古今小説).</v>
      </c>
    </row>
    <row r="1587" spans="1:3" ht="11.25">
      <c r="A1587" s="3" t="str">
        <f>"913/44/18/MASAOKA"</f>
        <v>913/44/18/MASAOKA</v>
      </c>
      <c r="B1587" s="3" t="str">
        <f>"18巻"</f>
        <v>18巻</v>
      </c>
      <c r="C1587" s="3" t="str">
        <f>"名著集 / 柳亭種彦,遊谷子 ; 18巻.-- 礫川出版会社; 明治24(1891)年11月.-- (古今小説)."</f>
        <v>名著集 / 柳亭種彦,遊谷子 ; 18巻.-- 礫川出版会社; 明治24(1891)年11月.-- (古今小説).</v>
      </c>
    </row>
    <row r="1588" spans="1:3" ht="11.25">
      <c r="A1588" s="3" t="str">
        <f>"913/44/19/MASAOKA"</f>
        <v>913/44/19/MASAOKA</v>
      </c>
      <c r="B1588" s="3" t="str">
        <f>"19巻"</f>
        <v>19巻</v>
      </c>
      <c r="C1588" s="3" t="str">
        <f>"名著集 / 曲亭馬琴,山東京伝 ; 19巻.-- 礫川出版会社; 明治24(1891)年11月.-- (古今小説)."</f>
        <v>名著集 / 曲亭馬琴,山東京伝 ; 19巻.-- 礫川出版会社; 明治24(1891)年11月.-- (古今小説).</v>
      </c>
    </row>
    <row r="1589" spans="1:3" ht="11.25">
      <c r="A1589" s="3" t="str">
        <f>"913/44/20/MASAOKA"</f>
        <v>913/44/20/MASAOKA</v>
      </c>
      <c r="B1589" s="3" t="str">
        <f>"20巻"</f>
        <v>20巻</v>
      </c>
      <c r="C1589" s="3" t="str">
        <f>"名著集 / 山東京伝,曲亭馬琴 ; 20巻.-- 礫川出版会社; 明治24(1891)年12月.-- (古今小説)."</f>
        <v>名著集 / 山東京伝,曲亭馬琴 ; 20巻.-- 礫川出版会社; 明治24(1891)年12月.-- (古今小説).</v>
      </c>
    </row>
    <row r="1590" spans="1:3" ht="11.25">
      <c r="A1590" s="3" t="str">
        <f>"913/44/21/MASAOKA"</f>
        <v>913/44/21/MASAOKA</v>
      </c>
      <c r="B1590" s="3" t="str">
        <f>"21巻"</f>
        <v>21巻</v>
      </c>
      <c r="C1590" s="3" t="str">
        <f>"名著集 / 山東京伝,曲亭馬琴 ; 21巻.-- 礫川出版会社; 明治24(1891)年12月.-- (古今小説)."</f>
        <v>名著集 / 山東京伝,曲亭馬琴 ; 21巻.-- 礫川出版会社; 明治24(1891)年12月.-- (古今小説).</v>
      </c>
    </row>
    <row r="1591" spans="1:3" ht="11.25">
      <c r="A1591" s="3" t="str">
        <f>"913/44/22/MASAOKA"</f>
        <v>913/44/22/MASAOKA</v>
      </c>
      <c r="B1591" s="3" t="str">
        <f>"22巻"</f>
        <v>22巻</v>
      </c>
      <c r="C1591" s="3" t="str">
        <f>"名著集 / 式亭三馬,曲亭馬琴 ; 22巻.-- 礫川出版会社; 明治25(1892)年1月.-- (古今小説)."</f>
        <v>名著集 / 式亭三馬,曲亭馬琴 ; 22巻.-- 礫川出版会社; 明治25(1892)年1月.-- (古今小説).</v>
      </c>
    </row>
    <row r="1592" spans="1:3" ht="11.25">
      <c r="A1592" s="3" t="str">
        <f>"913/44/23/MASAOKA"</f>
        <v>913/44/23/MASAOKA</v>
      </c>
      <c r="B1592" s="3" t="str">
        <f>"23巻"</f>
        <v>23巻</v>
      </c>
      <c r="C1592" s="3" t="str">
        <f>"名著集 / 高井蘭山,松亭金水 ; 23巻.-- 礫川出版会社; 明治25(1892)年1月.-- (古今小説)."</f>
        <v>名著集 / 高井蘭山,松亭金水 ; 23巻.-- 礫川出版会社; 明治25(1892)年1月.-- (古今小説).</v>
      </c>
    </row>
    <row r="1593" spans="1:3" ht="11.25">
      <c r="A1593" s="3" t="str">
        <f>"913/44/24/MASAOKA"</f>
        <v>913/44/24/MASAOKA</v>
      </c>
      <c r="B1593" s="3" t="str">
        <f>"24巻"</f>
        <v>24巻</v>
      </c>
      <c r="C1593" s="3" t="str">
        <f>"名著集 / 為永春水,峩洋堂主人 ; 24巻.-- 礫川出版会社; 明治25(1892)年2月.-- (古今小説)."</f>
        <v>名著集 / 為永春水,峩洋堂主人 ; 24巻.-- 礫川出版会社; 明治25(1892)年2月.-- (古今小説).</v>
      </c>
    </row>
    <row r="1594" spans="1:3" ht="11.25">
      <c r="A1594" s="3" t="str">
        <f>"913/44/b1/MASAOKA"</f>
        <v>913/44/b1/MASAOKA</v>
      </c>
      <c r="B1594" s="3" t="str">
        <f>"2-1"</f>
        <v>2-1</v>
      </c>
      <c r="C1594" s="3" t="str">
        <f>"名著集 / 曲亭馬琴,小枝繁 ; 2-1.-- 礫川出版会社; 明治25(1892)年4月.-- (古今小説)."</f>
        <v>名著集 / 曲亭馬琴,小枝繁 ; 2-1.-- 礫川出版会社; 明治25(1892)年4月.-- (古今小説).</v>
      </c>
    </row>
    <row r="1595" spans="1:3" ht="11.25">
      <c r="A1595" s="3" t="str">
        <f>"913/44/b3/MASAOKA"</f>
        <v>913/44/b3/MASAOKA</v>
      </c>
      <c r="B1595" s="3" t="str">
        <f>"2-3"</f>
        <v>2-3</v>
      </c>
      <c r="C1595" s="3" t="str">
        <f>"名著集 / 四方歌垣,曲亭馬琴 ; 2-3.-- 礫川出版会社; 明治25(1892)年5月.-- (古今小説)."</f>
        <v>名著集 / 四方歌垣,曲亭馬琴 ; 2-3.-- 礫川出版会社; 明治25(1892)年5月.-- (古今小説).</v>
      </c>
    </row>
    <row r="1596" spans="1:3" ht="11.25">
      <c r="A1596" s="3" t="str">
        <f>"913/45//MASAOKA"</f>
        <v>913/45//MASAOKA</v>
      </c>
      <c r="B1596" s="3">
        <f>""</f>
      </c>
      <c r="C1596" s="3" t="str">
        <f>"雲霧五人男全伝 / 伊藤専三編.-- 金桜堂; 明治20(1887)年7月."</f>
        <v>雲霧五人男全伝 / 伊藤専三編.-- 金桜堂; 明治20(1887)年7月.</v>
      </c>
    </row>
    <row r="1597" spans="1:3" ht="11.25">
      <c r="A1597" s="3" t="str">
        <f>"913/46//MASAOKA"</f>
        <v>913/46//MASAOKA</v>
      </c>
      <c r="B1597" s="3">
        <f>""</f>
      </c>
      <c r="C1597" s="3" t="str">
        <f>"皿皿郷談 / 曲亭馬琴 ; 全.-- 柳心堂; 明治18(1885)年12月."</f>
        <v>皿皿郷談 / 曲亭馬琴 ; 全.-- 柳心堂; 明治18(1885)年12月.</v>
      </c>
    </row>
    <row r="1598" spans="1:3" ht="11.25">
      <c r="A1598" s="3" t="str">
        <f>"913/47//MASAOKA"</f>
        <v>913/47//MASAOKA</v>
      </c>
      <c r="B1598" s="3">
        <f>""</f>
      </c>
      <c r="C1598" s="3" t="str">
        <f>"名著集号外 / 曲亭馬琴.-- 礫川出版会社; 明治24(1891)年7月.-- (古今小説)."</f>
        <v>名著集号外 / 曲亭馬琴.-- 礫川出版会社; 明治24(1891)年7月.-- (古今小説).</v>
      </c>
    </row>
    <row r="1599" spans="1:3" ht="11.25">
      <c r="A1599" s="3" t="str">
        <f>"913/48//MASAOKA"</f>
        <v>913/48//MASAOKA</v>
      </c>
      <c r="B1599" s="3">
        <f>""</f>
      </c>
      <c r="C1599" s="3" t="str">
        <f>"新編稗史通 / 西村宇吉撰.-- 耕文社; 明治16(1883)年7月."</f>
        <v>新編稗史通 / 西村宇吉撰.-- 耕文社; 明治16(1883)年7月.</v>
      </c>
    </row>
    <row r="1600" spans="1:3" ht="11.25">
      <c r="A1600" s="3" t="str">
        <f>"913/49//MASAOKA"</f>
        <v>913/49//MASAOKA</v>
      </c>
      <c r="B1600" s="3" t="str">
        <f>"全"</f>
        <v>全</v>
      </c>
      <c r="C1600" s="3" t="str">
        <f>"艶道通鑑 / 内藤加我編 ; 全.-- 金桜堂; 明治24(1891)年4月."</f>
        <v>艶道通鑑 / 内藤加我編 ; 全.-- 金桜堂; 明治24(1891)年4月.</v>
      </c>
    </row>
    <row r="1601" spans="1:3" ht="11.25">
      <c r="A1601" s="3" t="str">
        <f>"913/50//MASAOKA"</f>
        <v>913/50//MASAOKA</v>
      </c>
      <c r="B1601" s="3">
        <f>""</f>
      </c>
      <c r="C1601" s="3" t="str">
        <f>"平井権八一代記 / 森仙吉.-- 鶴声社; 明治21(1888)年11月."</f>
        <v>平井権八一代記 / 森仙吉.-- 鶴声社; 明治21(1888)年11月.</v>
      </c>
    </row>
    <row r="1602" spans="1:3" ht="11.25">
      <c r="A1602" s="3" t="str">
        <f>"913/51//MASAOKA"</f>
        <v>913/51//MASAOKA</v>
      </c>
      <c r="B1602" s="3">
        <f>""</f>
      </c>
      <c r="C1602" s="3" t="str">
        <f>"花暦八笑人 / 堀尾長興 ; 後編.-- 潜心堂; 明治16(1883)年9月."</f>
        <v>花暦八笑人 / 堀尾長興 ; 後編.-- 潜心堂; 明治16(1883)年9月.</v>
      </c>
    </row>
    <row r="1603" spans="1:3" ht="11.25">
      <c r="A1603" s="3" t="str">
        <f>"913/52//MASAOKA"</f>
        <v>913/52//MASAOKA</v>
      </c>
      <c r="B1603" s="3">
        <f>""</f>
      </c>
      <c r="C1603" s="3" t="str">
        <f>"小山金五郎仮名文章女節用 / 曲山人.-- 日月堂; 明治19(1886)年7月."</f>
        <v>小山金五郎仮名文章女節用 / 曲山人.-- 日月堂; 明治19(1886)年7月.</v>
      </c>
    </row>
    <row r="1604" spans="1:3" ht="11.25">
      <c r="A1604" s="3" t="str">
        <f>"913/53/5/MASAOKA"</f>
        <v>913/53/5/MASAOKA</v>
      </c>
      <c r="B1604" s="3" t="str">
        <f>"第5巻"</f>
        <v>第5巻</v>
      </c>
      <c r="C1604" s="3" t="str">
        <f>"小説むら竹 / 饗庭篁村 ; 第5-6,20巻 - 第20巻.-- 春陽堂; 明治22-23(1889-1890)年."</f>
        <v>小説むら竹 / 饗庭篁村 ; 第5-6,20巻 - 第20巻.-- 春陽堂; 明治22-23(1889-1890)年.</v>
      </c>
    </row>
    <row r="1605" spans="1:3" ht="11.25">
      <c r="A1605" s="3" t="str">
        <f>"913/53/6/MASAOKA"</f>
        <v>913/53/6/MASAOKA</v>
      </c>
      <c r="B1605" s="3" t="str">
        <f>"第6巻"</f>
        <v>第6巻</v>
      </c>
      <c r="C1605" s="3" t="str">
        <f>"小説むら竹 / 饗庭篁村 ; 第5-6,20巻 - 第20巻.-- 春陽堂; 明治22-23(1889-1890)年."</f>
        <v>小説むら竹 / 饗庭篁村 ; 第5-6,20巻 - 第20巻.-- 春陽堂; 明治22-23(1889-1890)年.</v>
      </c>
    </row>
    <row r="1606" spans="1:3" ht="11.25">
      <c r="A1606" s="3" t="str">
        <f>"913/53/20/MASAOKA"</f>
        <v>913/53/20/MASAOKA</v>
      </c>
      <c r="B1606" s="3" t="str">
        <f>"第20巻"</f>
        <v>第20巻</v>
      </c>
      <c r="C1606" s="3" t="str">
        <f>"小説むら竹 / 饗庭篁村 ; 第5-6,20巻 - 第20巻.-- 春陽堂; 明治22-23(1889-1890)年."</f>
        <v>小説むら竹 / 饗庭篁村 ; 第5-6,20巻 - 第20巻.-- 春陽堂; 明治22-23(1889-1890)年.</v>
      </c>
    </row>
    <row r="1607" spans="1:3" ht="11.25">
      <c r="A1607" s="3" t="str">
        <f>"913/54/1/MASAOKA"</f>
        <v>913/54/1/MASAOKA</v>
      </c>
      <c r="B1607" s="3" t="str">
        <f>"前"</f>
        <v>前</v>
      </c>
      <c r="C1607" s="3" t="str">
        <f>"御伽草子 / 今泉定介,畠山健校定 ; 前・後, 前, 後.-- 吉川半七; 明治24(1891)年."</f>
        <v>御伽草子 / 今泉定介,畠山健校定 ; 前・後, 前, 後.-- 吉川半七; 明治24(1891)年.</v>
      </c>
    </row>
    <row r="1608" spans="1:3" ht="11.25">
      <c r="A1608" s="3" t="str">
        <f>"913/54/2/MASAOKA"</f>
        <v>913/54/2/MASAOKA</v>
      </c>
      <c r="B1608" s="3" t="str">
        <f>"後"</f>
        <v>後</v>
      </c>
      <c r="C1608" s="3" t="str">
        <f>"御伽草子 / 今泉定介,畠山健校定 ; 前・後, 前, 後.-- 吉川半七; 明治24(1891)年."</f>
        <v>御伽草子 / 今泉定介,畠山健校定 ; 前・後, 前, 後.-- 吉川半七; 明治24(1891)年.</v>
      </c>
    </row>
    <row r="1609" spans="1:3" ht="11.25">
      <c r="A1609" s="3" t="str">
        <f>"913/55//MASAOKA"</f>
        <v>913/55//MASAOKA</v>
      </c>
      <c r="B1609" s="3">
        <f>""</f>
      </c>
      <c r="C1609" s="3" t="str">
        <f>"二宮尊徳翁 / 幸田露伴.-- 大橋新太郎; 明治24(1891)年10月."</f>
        <v>二宮尊徳翁 / 幸田露伴.-- 大橋新太郎; 明治24(1891)年10月.</v>
      </c>
    </row>
    <row r="1610" spans="1:3" ht="11.25">
      <c r="A1610" s="3" t="str">
        <f>"913/56//MASAOKA"</f>
        <v>913/56//MASAOKA</v>
      </c>
      <c r="B1610" s="3">
        <f>""</f>
      </c>
      <c r="C1610" s="3" t="str">
        <f>"絵本真田三代記 / 森仙吉.-- 鶴声社; 明治19(1886)年10月再版."</f>
        <v>絵本真田三代記 / 森仙吉.-- 鶴声社; 明治19(1886)年10月再版.</v>
      </c>
    </row>
    <row r="1611" spans="1:3" ht="11.25">
      <c r="A1611" s="3" t="str">
        <f>"913/57//MASAOKA"</f>
        <v>913/57//MASAOKA</v>
      </c>
      <c r="B1611" s="3">
        <f>""</f>
      </c>
      <c r="C1611" s="3" t="str">
        <f>"小説柿二つ / 高浜虚子.-- 新橋堂; 大正4(1915)年5月."</f>
        <v>小説柿二つ / 高浜虚子.-- 新橋堂; 大正4(1915)年5月.</v>
      </c>
    </row>
    <row r="1612" spans="1:3" ht="11.25">
      <c r="A1612" s="3" t="str">
        <f>"913/58//MASAOKA"</f>
        <v>913/58//MASAOKA</v>
      </c>
      <c r="B1612" s="3">
        <f>""</f>
      </c>
      <c r="C1612" s="3" t="str">
        <f>"伽羅まくら / 尾崎紅葉.-- 春陽堂; 明治24(1891)年10月."</f>
        <v>伽羅まくら / 尾崎紅葉.-- 春陽堂; 明治24(1891)年10月.</v>
      </c>
    </row>
    <row r="1613" spans="1:3" ht="11.25">
      <c r="A1613" s="3" t="str">
        <f>"913/59/1/MASAOKA"</f>
        <v>913/59/1/MASAOKA</v>
      </c>
      <c r="B1613" s="3" t="str">
        <f>"上"</f>
        <v>上</v>
      </c>
      <c r="C1613" s="3" t="str">
        <f>"栄華物語 / 梅原忠蔵編 ; 上・下, 上, 下.-- 図書出版会社; 明治24(1891)年4月再版."</f>
        <v>栄華物語 / 梅原忠蔵編 ; 上・下, 上, 下.-- 図書出版会社; 明治24(1891)年4月再版.</v>
      </c>
    </row>
    <row r="1614" spans="1:3" ht="11.25">
      <c r="A1614" s="3" t="str">
        <f>"913/59/2/MASAOKA"</f>
        <v>913/59/2/MASAOKA</v>
      </c>
      <c r="B1614" s="3" t="str">
        <f>"下"</f>
        <v>下</v>
      </c>
      <c r="C1614" s="3" t="str">
        <f>"栄華物語 / 梅原忠蔵編 ; 上・下, 上, 下.-- 図書出版会社; 明治24(1891)年4月再版."</f>
        <v>栄華物語 / 梅原忠蔵編 ; 上・下, 上, 下.-- 図書出版会社; 明治24(1891)年4月再版.</v>
      </c>
    </row>
    <row r="1615" spans="1:3" ht="11.25">
      <c r="A1615" s="3" t="str">
        <f>"913/60//MASAOKA"</f>
        <v>913/60//MASAOKA</v>
      </c>
      <c r="B1615" s="3">
        <f>""</f>
      </c>
      <c r="C1615" s="3" t="str">
        <f>"子規居士と余 / 高濱虚子.-- 日月社; 大正4(1915)年6月."</f>
        <v>子規居士と余 / 高濱虚子.-- 日月社; 大正4(1915)年6月.</v>
      </c>
    </row>
    <row r="1616" spans="1:3" ht="11.25">
      <c r="A1616" s="3" t="str">
        <f>"913/61/1/MASAOKA"</f>
        <v>913/61/1/MASAOKA</v>
      </c>
      <c r="B1616" s="3" t="str">
        <f>"1編"</f>
        <v>1編</v>
      </c>
      <c r="C1616" s="3" t="str">
        <f>"大通世界 / 幸堂得知 ; 1編, 2編, 3編.-- 春陽堂; 1891.5-."</f>
        <v>大通世界 / 幸堂得知 ; 1編, 2編, 3編.-- 春陽堂; 1891.5-.</v>
      </c>
    </row>
    <row r="1617" spans="1:3" ht="11.25">
      <c r="A1617" s="3" t="str">
        <f>"913/61/2/MASAOKA"</f>
        <v>913/61/2/MASAOKA</v>
      </c>
      <c r="B1617" s="3" t="str">
        <f>"2編"</f>
        <v>2編</v>
      </c>
      <c r="C1617" s="3" t="str">
        <f>"大通世界 / 幸堂得知 ; 1編, 2編, 3編.-- 春陽堂; 1891.5-."</f>
        <v>大通世界 / 幸堂得知 ; 1編, 2編, 3編.-- 春陽堂; 1891.5-.</v>
      </c>
    </row>
    <row r="1618" spans="1:3" ht="11.25">
      <c r="A1618" s="3" t="str">
        <f>"913/61/3/MASAOKA"</f>
        <v>913/61/3/MASAOKA</v>
      </c>
      <c r="B1618" s="3" t="str">
        <f>"3編"</f>
        <v>3編</v>
      </c>
      <c r="C1618" s="3" t="str">
        <f>"大通世界 / 幸堂得知 ; 1編, 2編, 3編.-- 春陽堂; 1891.5-."</f>
        <v>大通世界 / 幸堂得知 ; 1編, 2編, 3編.-- 春陽堂; 1891.5-.</v>
      </c>
    </row>
    <row r="1619" spans="1:3" ht="11.25">
      <c r="A1619" s="3" t="str">
        <f>"913/62//MASAOKA"</f>
        <v>913/62//MASAOKA</v>
      </c>
      <c r="B1619" s="3">
        <f>""</f>
      </c>
      <c r="C1619" s="3" t="str">
        <f>"浦島次郎蓬莱噺 / 幸堂得知.-- 春陽堂; 明治24(1891)年12月."</f>
        <v>浦島次郎蓬莱噺 / 幸堂得知.-- 春陽堂; 明治24(1891)年12月.</v>
      </c>
    </row>
    <row r="1620" spans="1:3" ht="11.25">
      <c r="A1620" s="3" t="str">
        <f>"913/63//MASAOKA"</f>
        <v>913/63//MASAOKA</v>
      </c>
      <c r="B1620" s="3">
        <f>""</f>
      </c>
      <c r="C1620" s="3" t="str">
        <f>"ぶんしやうのおうし / [著者不明].-- [出版者不明]; [出版年不明]."</f>
        <v>ぶんしやうのおうし / [著者不明].-- [出版者不明]; [出版年不明].</v>
      </c>
    </row>
    <row r="1621" spans="1:3" ht="11.25">
      <c r="A1621" s="3" t="str">
        <f>"913/64//MASAOKA"</f>
        <v>913/64//MASAOKA</v>
      </c>
      <c r="B1621" s="3">
        <f>""</f>
      </c>
      <c r="C1621" s="3" t="str">
        <f>"源氏物語講義 / 鈴木弘恭講義 小串隆記.-- 開成堂; 明治17(1884)年5月."</f>
        <v>源氏物語講義 / 鈴木弘恭講義 小串隆記.-- 開成堂; 明治17(1884)年5月.</v>
      </c>
    </row>
    <row r="1622" spans="1:3" ht="11.25">
      <c r="A1622" s="3" t="str">
        <f>"913.4/2//MASAOKA"</f>
        <v>913.4/2//MASAOKA</v>
      </c>
      <c r="B1622" s="3">
        <f>""</f>
      </c>
      <c r="C1622" s="3" t="str">
        <f>"頭書保元物語 / 中根淑註釈 ; 全.-- 金港堂; 明治24(1891)年6月."</f>
        <v>頭書保元物語 / 中根淑註釈 ; 全.-- 金港堂; 明治24(1891)年6月.</v>
      </c>
    </row>
    <row r="1623" spans="1:3" ht="11.25">
      <c r="A1623" s="3" t="str">
        <f>"913.4/3/1/MASAOKA"</f>
        <v>913.4/3/1/MASAOKA</v>
      </c>
      <c r="B1623" s="3" t="str">
        <f>"第1"</f>
        <v>第1</v>
      </c>
      <c r="C1623" s="3" t="str">
        <f>"平家物語 / [著者不明] ; 第1,2,4 - 第3.-- [出版者不明]; [元和年間(1615-1623)]."</f>
        <v>平家物語 / [著者不明] ; 第1,2,4 - 第3.-- [出版者不明]; [元和年間(1615-1623)].</v>
      </c>
    </row>
    <row r="1624" spans="1:3" ht="11.25">
      <c r="A1624" s="3" t="str">
        <f>"913.4/3/2/MASAOKA"</f>
        <v>913.4/3/2/MASAOKA</v>
      </c>
      <c r="B1624" s="3" t="str">
        <f>"第2"</f>
        <v>第2</v>
      </c>
      <c r="C1624" s="3" t="str">
        <f>"平家物語 / [著者不明] ; 第1,2,4 - 第3.-- [出版者不明]; [元和年間(1615-1623)]."</f>
        <v>平家物語 / [著者不明] ; 第1,2,4 - 第3.-- [出版者不明]; [元和年間(1615-1623)].</v>
      </c>
    </row>
    <row r="1625" spans="1:3" ht="11.25">
      <c r="A1625" s="3" t="str">
        <f>"913.4/3/4/MASAOKA"</f>
        <v>913.4/3/4/MASAOKA</v>
      </c>
      <c r="B1625" s="3" t="str">
        <f>"第3"</f>
        <v>第3</v>
      </c>
      <c r="C1625" s="3" t="str">
        <f>"平家物語 / [著者不明] ; 第1,2,4 - 第3.-- [出版者不明]; [元和年間(1615-1623)]."</f>
        <v>平家物語 / [著者不明] ; 第1,2,4 - 第3.-- [出版者不明]; [元和年間(1615-1623)].</v>
      </c>
    </row>
    <row r="1626" spans="1:3" ht="11.25">
      <c r="A1626" s="3" t="str">
        <f>"913.5/1//MASAOKA"</f>
        <v>913.5/1//MASAOKA</v>
      </c>
      <c r="B1626" s="3">
        <f>""</f>
      </c>
      <c r="C1626" s="3" t="str">
        <f>"西鶴おきみやげ : 絵入 / 井原西鶴[著] 吉田広作編.-- 三三文房; 明治24(1891)年3月.-- (文学資料)."</f>
        <v>西鶴おきみやげ : 絵入 / 井原西鶴[著] 吉田広作編.-- 三三文房; 明治24(1891)年3月.-- (文学資料).</v>
      </c>
    </row>
    <row r="1627" spans="1:3" ht="11.25">
      <c r="A1627" s="3" t="str">
        <f>"913.5/2//MASAOKA"</f>
        <v>913.5/2//MASAOKA</v>
      </c>
      <c r="B1627" s="3" t="str">
        <f>"全"</f>
        <v>全</v>
      </c>
      <c r="C1627" s="3" t="str">
        <f>"御前おとぎほうこ . 絵入 / 都の錦[著] 吉田広作編 ; 全.-- 三三文房; 明治24(1891)年6月.-- (文学資料)."</f>
        <v>御前おとぎほうこ . 絵入 / 都の錦[著] 吉田広作編 ; 全.-- 三三文房; 明治24(1891)年6月.-- (文学資料).</v>
      </c>
    </row>
    <row r="1628" spans="1:3" ht="11.25">
      <c r="A1628" s="3" t="str">
        <f>"913.5/3//MASAOKA"</f>
        <v>913.5/3//MASAOKA</v>
      </c>
      <c r="B1628" s="3">
        <f>""</f>
      </c>
      <c r="C1628" s="3" t="str">
        <f>"傾城買二筋道 / 梅暮里谷峨著 ; 全.-- [出版者不明]; 寛政10(1798)年春序刊."</f>
        <v>傾城買二筋道 / 梅暮里谷峨著 ; 全.-- [出版者不明]; 寛政10(1798)年春序刊.</v>
      </c>
    </row>
    <row r="1629" spans="1:3" ht="11.25">
      <c r="A1629" s="3" t="str">
        <f>"913.5/4//MASAOKA"</f>
        <v>913.5/4//MASAOKA</v>
      </c>
      <c r="B1629" s="3">
        <f>""</f>
      </c>
      <c r="C1629" s="3" t="str">
        <f>"辰己婦言 / 式亭三馬著.-- [出版者不明]; 寛政10(1798)春自序."</f>
        <v>辰己婦言 / 式亭三馬著.-- [出版者不明]; 寛政10(1798)春自序.</v>
      </c>
    </row>
    <row r="1630" spans="1:3" ht="11.25">
      <c r="A1630" s="3" t="str">
        <f>"913.5/5//MASAOKA"</f>
        <v>913.5/5//MASAOKA</v>
      </c>
      <c r="B1630" s="3">
        <f>""</f>
      </c>
      <c r="C1630" s="3" t="str">
        <f>"野良玉子 / 十返舎一九作.-- [出版者不明]; [享和1(1801)年自序]."</f>
        <v>野良玉子 / 十返舎一九作.-- [出版者不明]; [享和1(1801)年自序].</v>
      </c>
    </row>
    <row r="1631" spans="1:3" ht="11.25">
      <c r="A1631" s="3" t="str">
        <f>"913.5/6//MASAOKA"</f>
        <v>913.5/6//MASAOKA</v>
      </c>
      <c r="B1631" s="3">
        <f>""</f>
      </c>
      <c r="C1631" s="3" t="str">
        <f>"傾城買四十八手 / 山東京伝作・画.-- 蔦屋重三郎; [寛政2(1790)年成立]."</f>
        <v>傾城買四十八手 / 山東京伝作・画.-- 蔦屋重三郎; [寛政2(1790)年成立].</v>
      </c>
    </row>
    <row r="1632" spans="1:3" ht="11.25">
      <c r="A1632" s="3" t="str">
        <f>"913.5/7/1/MASAOKA"</f>
        <v>913.5/7/1/MASAOKA</v>
      </c>
      <c r="B1632" s="3" t="str">
        <f>"1-3巻"</f>
        <v>1-3巻</v>
      </c>
      <c r="C1632" s="3" t="str">
        <f>"春色梅美婦袮 / 為永春水著 ; 1-15巻 - 13-15巻.-- 加賀屋; [出版年不明]."</f>
        <v>春色梅美婦袮 / 為永春水著 ; 1-15巻 - 13-15巻.-- 加賀屋; [出版年不明].</v>
      </c>
    </row>
    <row r="1633" spans="1:3" ht="11.25">
      <c r="A1633" s="3" t="str">
        <f>"913.5/7/2/MASAOKA"</f>
        <v>913.5/7/2/MASAOKA</v>
      </c>
      <c r="B1633" s="3" t="str">
        <f>"4-6巻"</f>
        <v>4-6巻</v>
      </c>
      <c r="C1633" s="3" t="str">
        <f>"春色梅美婦袮 / 為永春水著 ; 1-15巻 - 13-15巻.-- 加賀屋; [出版年不明]."</f>
        <v>春色梅美婦袮 / 為永春水著 ; 1-15巻 - 13-15巻.-- 加賀屋; [出版年不明].</v>
      </c>
    </row>
    <row r="1634" spans="1:3" ht="11.25">
      <c r="A1634" s="3" t="str">
        <f>"913.5/7/3/MASAOKA"</f>
        <v>913.5/7/3/MASAOKA</v>
      </c>
      <c r="B1634" s="3" t="str">
        <f>"7-9巻"</f>
        <v>7-9巻</v>
      </c>
      <c r="C1634" s="3" t="str">
        <f>"春色梅美婦袮 / 為永春水著 ; 1-15巻 - 13-15巻.-- 加賀屋; [出版年不明]."</f>
        <v>春色梅美婦袮 / 為永春水著 ; 1-15巻 - 13-15巻.-- 加賀屋; [出版年不明].</v>
      </c>
    </row>
    <row r="1635" spans="1:3" ht="11.25">
      <c r="A1635" s="3" t="str">
        <f>"913.5/7/4/MASAOKA"</f>
        <v>913.5/7/4/MASAOKA</v>
      </c>
      <c r="B1635" s="3" t="str">
        <f>"10-12巻"</f>
        <v>10-12巻</v>
      </c>
      <c r="C1635" s="3" t="str">
        <f>"春色梅美婦袮 / 為永春水著 ; 1-15巻 - 13-15巻.-- 加賀屋; [出版年不明]."</f>
        <v>春色梅美婦袮 / 為永春水著 ; 1-15巻 - 13-15巻.-- 加賀屋; [出版年不明].</v>
      </c>
    </row>
    <row r="1636" spans="1:3" ht="11.25">
      <c r="A1636" s="3" t="str">
        <f>"913.5/7/5/MASAOKA"</f>
        <v>913.5/7/5/MASAOKA</v>
      </c>
      <c r="B1636" s="3" t="str">
        <f>"13-15巻"</f>
        <v>13-15巻</v>
      </c>
      <c r="C1636" s="3" t="str">
        <f>"春色梅美婦袮 / 為永春水著 ; 1-15巻 - 13-15巻.-- 加賀屋; [出版年不明]."</f>
        <v>春色梅美婦袮 / 為永春水著 ; 1-15巻 - 13-15巻.-- 加賀屋; [出版年不明].</v>
      </c>
    </row>
    <row r="1637" spans="1:3" ht="11.25">
      <c r="A1637" s="3" t="str">
        <f>"913.5/8//MASAOKA"</f>
        <v>913.5/8//MASAOKA</v>
      </c>
      <c r="B1637" s="3" t="str">
        <f>"上巻"</f>
        <v>上巻</v>
      </c>
      <c r="C1637" s="3" t="str">
        <f>"力瘤三八異伝 / 墨川亭雪麿作 ; 上巻.-- 蔦吉; 天保7(1836)年1月刊."</f>
        <v>力瘤三八異伝 / 墨川亭雪麿作 ; 上巻.-- 蔦吉; 天保7(1836)年1月刊.</v>
      </c>
    </row>
    <row r="1638" spans="1:3" ht="11.25">
      <c r="A1638" s="3" t="str">
        <f>"913.5/9//MASAOKA"</f>
        <v>913.5/9//MASAOKA</v>
      </c>
      <c r="B1638" s="3" t="str">
        <f>"17編 上冊"</f>
        <v>17編 上冊</v>
      </c>
      <c r="C1638" s="3" t="str">
        <f>"金草鞋 / 十返舎一九著 ; 17編 上冊.-- 森治; 文化12(1815)年春刊."</f>
        <v>金草鞋 / 十返舎一九著 ; 17編 上冊.-- 森治; 文化12(1815)年春刊.</v>
      </c>
    </row>
    <row r="1639" spans="1:3" ht="11.25">
      <c r="A1639" s="3" t="str">
        <f>"913.5/10//MASAOKA"</f>
        <v>913.5/10//MASAOKA</v>
      </c>
      <c r="B1639" s="3">
        <f>""</f>
      </c>
      <c r="C1639" s="3" t="str">
        <f>"疱瘡麻疹養生伝記 / 十返舎一九作・画.-- 鶴屋金助; 享和3(1803)年刊."</f>
        <v>疱瘡麻疹養生伝記 / 十返舎一九作・画.-- 鶴屋金助; 享和3(1803)年刊.</v>
      </c>
    </row>
    <row r="1640" spans="1:3" ht="11.25">
      <c r="A1640" s="3" t="str">
        <f>"913.5/11/1/MASAOKA"</f>
        <v>913.5/11/1/MASAOKA</v>
      </c>
      <c r="B1640" s="3" t="str">
        <f>"巻上"</f>
        <v>巻上</v>
      </c>
      <c r="C1640" s="3" t="str">
        <f>"三国太郎再来伝 / [二世]十返舎一九作 ; 巻上.-- 保永堂; 天保6(1835)年自序."</f>
        <v>三国太郎再来伝 / [二世]十返舎一九作 ; 巻上.-- 保永堂; 天保6(1835)年自序.</v>
      </c>
    </row>
    <row r="1641" spans="1:3" ht="11.25">
      <c r="A1641" s="3" t="str">
        <f>"913.5/12//MASAOKA"</f>
        <v>913.5/12//MASAOKA</v>
      </c>
      <c r="B1641" s="3">
        <f>""</f>
      </c>
      <c r="C1641" s="3" t="str">
        <f>"通俗大雑書 / 十返舎一九作.-- 永寿堂; 文化7(1810)年刊."</f>
        <v>通俗大雑書 / 十返舎一九作.-- 永寿堂; 文化7(1810)年刊.</v>
      </c>
    </row>
    <row r="1642" spans="1:3" ht="11.25">
      <c r="A1642" s="3" t="str">
        <f>"913.5/13//MASAOKA"</f>
        <v>913.5/13//MASAOKA</v>
      </c>
      <c r="B1642" s="3" t="str">
        <f>"初編"</f>
        <v>初編</v>
      </c>
      <c r="C1642" s="3" t="str">
        <f>"敵討浪速男 / 十返舎一九作 ; 初編.-- [出版者不明]; [文化4(1807)年刊]."</f>
        <v>敵討浪速男 / 十返舎一九作 ; 初編.-- [出版者不明]; [文化4(1807)年刊].</v>
      </c>
    </row>
    <row r="1643" spans="1:3" ht="11.25">
      <c r="A1643" s="3" t="str">
        <f>"913.5/14//MASAOKA"</f>
        <v>913.5/14//MASAOKA</v>
      </c>
      <c r="B1643" s="3" t="str">
        <f>"下之巻"</f>
        <v>下之巻</v>
      </c>
      <c r="C1643" s="3" t="str">
        <f>"春小袖門松模様 / 山東京山作 ; 下之巻.-- 仙鶴堂; 文政8(1825)年春刊."</f>
        <v>春小袖門松模様 / 山東京山作 ; 下之巻.-- 仙鶴堂; 文政8(1825)年春刊.</v>
      </c>
    </row>
    <row r="1644" spans="1:3" ht="11.25">
      <c r="A1644" s="3" t="str">
        <f>"913.5/15//MASAOKA"</f>
        <v>913.5/15//MASAOKA</v>
      </c>
      <c r="B1644" s="3">
        <f>""</f>
      </c>
      <c r="C1644" s="3" t="str">
        <f>"身持扇 / 山東菴京山作.-- 国寿堂; 文政3(1820)年春刊."</f>
        <v>身持扇 / 山東菴京山作.-- 国寿堂; 文政3(1820)年春刊.</v>
      </c>
    </row>
    <row r="1645" spans="1:3" ht="11.25">
      <c r="A1645" s="3" t="str">
        <f>"913.5/16//MASAOKA"</f>
        <v>913.5/16//MASAOKA</v>
      </c>
      <c r="B1645" s="3" t="str">
        <f>"24編"</f>
        <v>24編</v>
      </c>
      <c r="C1645" s="3" t="str">
        <f>"大晦日曙草紙 / 山東京山作 ; 24編.-- 蔦屋吉蔵; 慶応2(1866)年1月刊."</f>
        <v>大晦日曙草紙 / 山東京山作 ; 24編.-- 蔦屋吉蔵; 慶応2(1866)年1月刊.</v>
      </c>
    </row>
    <row r="1646" spans="1:3" ht="11.25">
      <c r="A1646" s="3" t="str">
        <f>"913.5/17/1/MASAOKA"</f>
        <v>913.5/17/1/MASAOKA</v>
      </c>
      <c r="B1646" s="3">
        <f>""</f>
      </c>
      <c r="C1646" s="3" t="str">
        <f>"宇治拾遺煎茶乃友 / 墨川亭雪麿作.-- 佐野屋; 天保5(1834)年1月刊."</f>
        <v>宇治拾遺煎茶乃友 / 墨川亭雪麿作.-- 佐野屋; 天保5(1834)年1月刊.</v>
      </c>
    </row>
    <row r="1647" spans="1:3" ht="11.25">
      <c r="A1647" s="3" t="str">
        <f>"913.5/18//MASAOKA"</f>
        <v>913.5/18//MASAOKA</v>
      </c>
      <c r="B1647" s="3">
        <f>""</f>
      </c>
      <c r="C1647" s="3" t="str">
        <f>"国姓爺[合戦] / 墨川亭雪麿作.-- [出版者不明]; [天保5(1834)年]."</f>
        <v>国姓爺[合戦] / 墨川亭雪麿作.-- [出版者不明]; [天保5(1834)年].</v>
      </c>
    </row>
    <row r="1648" spans="1:3" ht="11.25">
      <c r="A1648" s="3" t="str">
        <f>"913.5/19//MASAOKA"</f>
        <v>913.5/19//MASAOKA</v>
      </c>
      <c r="B1648" s="3">
        <f>""</f>
      </c>
      <c r="C1648" s="3" t="str">
        <f>"狂言袴五ツ紋尽 / 岩井紫若述 夷福亭[楽亭西馬]校正.-- 春松軒; 文政11(1828)年春刊."</f>
        <v>狂言袴五ツ紋尽 / 岩井紫若述 夷福亭[楽亭西馬]校正.-- 春松軒; 文政11(1828)年春刊.</v>
      </c>
    </row>
    <row r="1649" spans="1:3" ht="11.25">
      <c r="A1649" s="3" t="str">
        <f>"913.5/20//MASAOKA"</f>
        <v>913.5/20//MASAOKA</v>
      </c>
      <c r="B1649" s="3">
        <f>""</f>
      </c>
      <c r="C1649" s="3" t="str">
        <f>"月雪花 / 福亭三笑作.-- 山口屋; [文政1(1828)年刊]."</f>
        <v>月雪花 / 福亭三笑作.-- 山口屋; [文政1(1828)年刊].</v>
      </c>
    </row>
    <row r="1650" spans="1:3" ht="11.25">
      <c r="A1650" s="3" t="str">
        <f>"913.5/21//MASAOKA"</f>
        <v>913.5/21//MASAOKA</v>
      </c>
      <c r="B1650" s="3">
        <f>""</f>
      </c>
      <c r="C1650" s="3" t="str">
        <f>"玉藻前化[ショウ]姿見 / 扇舎梅幸作 [花笠文京代作].-- 英盛堂; 文政5(1822)年1月刊."</f>
        <v>玉藻前化[ショウ]姿見 / 扇舎梅幸作 [花笠文京代作].-- 英盛堂; 文政5(1822)年1月刊.</v>
      </c>
    </row>
    <row r="1651" spans="1:3" ht="11.25">
      <c r="A1651" s="3" t="str">
        <f>"913.5/22/1/MASAOKA"</f>
        <v>913.5/22/1/MASAOKA</v>
      </c>
      <c r="B1651" s="3" t="str">
        <f>"前編"</f>
        <v>前編</v>
      </c>
      <c r="C1651" s="3" t="str">
        <f>"由良湊女甚孝記 / 東西庵南北作 ; 前編.-- 井泉堂; 文政5(1822)年刊."</f>
        <v>由良湊女甚孝記 / 東西庵南北作 ; 前編.-- 井泉堂; 文政5(1822)年刊.</v>
      </c>
    </row>
    <row r="1652" spans="1:3" ht="11.25">
      <c r="A1652" s="3" t="str">
        <f>"913.5/23//MASAOKA"</f>
        <v>913.5/23//MASAOKA</v>
      </c>
      <c r="B1652" s="3" t="str">
        <f>"上"</f>
        <v>上</v>
      </c>
      <c r="C1652" s="3" t="str">
        <f>"浮世又平名画誉 / 式亭小三馬 ; 上.-- 松原堂; 天保13(1842)年刊."</f>
        <v>浮世又平名画誉 / 式亭小三馬 ; 上.-- 松原堂; 天保13(1842)年刊.</v>
      </c>
    </row>
    <row r="1653" spans="1:3" ht="11.25">
      <c r="A1653" s="3" t="str">
        <f>"913.5/24//MASAOKA"</f>
        <v>913.5/24//MASAOKA</v>
      </c>
      <c r="B1653" s="3">
        <f>""</f>
      </c>
      <c r="C1653" s="3" t="str">
        <f>"海中箱入恩着 / 関亭伝笑作.-- 双鶴堂; 文政7(1824)年刊."</f>
        <v>海中箱入恩着 / 関亭伝笑作.-- 双鶴堂; 文政7(1824)年刊.</v>
      </c>
    </row>
    <row r="1654" spans="1:3" ht="11.25">
      <c r="A1654" s="3" t="str">
        <f>"913.5/25//MASAOKA"</f>
        <v>913.5/25//MASAOKA</v>
      </c>
      <c r="B1654" s="3">
        <f>""</f>
      </c>
      <c r="C1654" s="3" t="str">
        <f>"元陽意記 / 東里山人作.-- 耳泉堂; 文化11(1814)年1月刊."</f>
        <v>元陽意記 / 東里山人作.-- 耳泉堂; 文化11(1814)年1月刊.</v>
      </c>
    </row>
    <row r="1655" spans="1:3" ht="11.25">
      <c r="A1655" s="3" t="str">
        <f>"913.5/26//MASAOKA"</f>
        <v>913.5/26//MASAOKA</v>
      </c>
      <c r="B1655" s="3">
        <f>""</f>
      </c>
      <c r="C1655" s="3" t="str">
        <f>"皇国文字娘席書 / 尾上梅幸作 [花笠文京代作].-- [丸屋甚八]; 文政9(1826)年1月刊."</f>
        <v>皇国文字娘席書 / 尾上梅幸作 [花笠文京代作].-- [丸屋甚八]; 文政9(1826)年1月刊.</v>
      </c>
    </row>
    <row r="1656" spans="1:3" ht="11.25">
      <c r="A1656" s="3" t="str">
        <f>"913.5/27//MASAOKA"</f>
        <v>913.5/27//MASAOKA</v>
      </c>
      <c r="B1656" s="3">
        <f>""</f>
      </c>
      <c r="C1656" s="3" t="str">
        <f>"歌舞伎楽屋通俳優家贔屓気質 / 式亭三馬著.-- [出版者不明]; [寛政11(1799)年自序]."</f>
        <v>歌舞伎楽屋通俳優家贔屓気質 / 式亭三馬著.-- [出版者不明]; [寛政11(1799)年自序].</v>
      </c>
    </row>
    <row r="1657" spans="1:3" ht="11.25">
      <c r="A1657" s="3" t="str">
        <f>"913.5/28/3/MASAOKA"</f>
        <v>913.5/28/3/MASAOKA</v>
      </c>
      <c r="B1657" s="3" t="str">
        <f>"初編-5編"</f>
        <v>初編-5編</v>
      </c>
      <c r="C1657" s="3" t="str">
        <f>"関太郎鈴鹿古事 / 楽亭西馬著 ; 初編-5編.-- [出版者不明]; [出版年不明]."</f>
        <v>関太郎鈴鹿古事 / 楽亭西馬著 ; 初編-5編.-- [出版者不明]; [出版年不明].</v>
      </c>
    </row>
    <row r="1658" spans="1:3" ht="11.25">
      <c r="A1658" s="3" t="str">
        <f>"913.5/30//MASAOKA"</f>
        <v>913.5/30//MASAOKA</v>
      </c>
      <c r="B1658" s="3" t="str">
        <f>"全"</f>
        <v>全</v>
      </c>
      <c r="C1658" s="3" t="str">
        <f>"仇討五大力 / 山東京山 ; 全.-- [出版者不明]; 文化6(1809)年刊."</f>
        <v>仇討五大力 / 山東京山 ; 全.-- [出版者不明]; 文化6(1809)年刊.</v>
      </c>
    </row>
    <row r="1659" spans="1:3" ht="11.25">
      <c r="A1659" s="3" t="str">
        <f>"913.5/31//MASAOKA"</f>
        <v>913.5/31//MASAOKA</v>
      </c>
      <c r="B1659" s="3" t="str">
        <f>"全"</f>
        <v>全</v>
      </c>
      <c r="C1659" s="3" t="str">
        <f>"江戸紫春の曙 / 市川団十郎作 ; 全.-- [出版者不明]; [天保1(1830)年刊]."</f>
        <v>江戸紫春の曙 / 市川団十郎作 ; 全.-- [出版者不明]; [天保1(1830)年刊].</v>
      </c>
    </row>
    <row r="1660" spans="1:3" ht="11.25">
      <c r="A1660" s="3" t="str">
        <f>"913.5/32//MASAOKA"</f>
        <v>913.5/32//MASAOKA</v>
      </c>
      <c r="B1660" s="3">
        <f>""</f>
      </c>
      <c r="C1660" s="3" t="str">
        <f>"源氏山 / 月光亭笑寿.-- 鶴喜; 文政4(1821)年3月刊."</f>
        <v>源氏山 / 月光亭笑寿.-- 鶴喜; 文政4(1821)年3月刊.</v>
      </c>
    </row>
    <row r="1661" spans="1:3" ht="11.25">
      <c r="A1661" s="3" t="str">
        <f>"913.5/33//MASAOKA"</f>
        <v>913.5/33//MASAOKA</v>
      </c>
      <c r="B1661" s="3">
        <f>""</f>
      </c>
      <c r="C1661" s="3" t="str">
        <f>"丹前風呂 / 式亭三馬.-- 双鶴堂; [文化9(1821)年刊]."</f>
        <v>丹前風呂 / 式亭三馬.-- 双鶴堂; [文化9(1821)年刊].</v>
      </c>
    </row>
    <row r="1662" spans="1:3" ht="11.25">
      <c r="A1662" s="3" t="str">
        <f>"913.5/34/3/MASAOKA"</f>
        <v>913.5/34/3/MASAOKA</v>
      </c>
      <c r="B1662" s="3" t="str">
        <f>"下"</f>
        <v>下</v>
      </c>
      <c r="C1662" s="3" t="str">
        <f>"小女郎蜘怨苧環 / 馬琴作 ; 下.-- 再版.-- [出版者不明]; [出版年不明]."</f>
        <v>小女郎蜘怨苧環 / 馬琴作 ; 下.-- 再版.-- [出版者不明]; [出版年不明].</v>
      </c>
    </row>
    <row r="1663" spans="1:3" ht="11.25">
      <c r="A1663" s="3" t="str">
        <f>"913.5/35//MASAOKA"</f>
        <v>913.5/35//MASAOKA</v>
      </c>
      <c r="B1663" s="3">
        <f>""</f>
      </c>
      <c r="C1663" s="3" t="str">
        <f>"役者用文章 / 曲亭馬琴.-- 中村屋幸蔵; 文化10(1813)年1月刊."</f>
        <v>役者用文章 / 曲亭馬琴.-- 中村屋幸蔵; 文化10(1813)年1月刊.</v>
      </c>
    </row>
    <row r="1664" spans="1:3" ht="11.25">
      <c r="A1664" s="3" t="str">
        <f>"913.5/36//MASAOKA"</f>
        <v>913.5/36//MASAOKA</v>
      </c>
      <c r="B1664" s="3">
        <f>""</f>
      </c>
      <c r="C1664" s="3" t="str">
        <f>"[源平] / [著者不明].-- [出版者不明]; [出版年不明]."</f>
        <v>[源平] / [著者不明].-- [出版者不明]; [出版年不明].</v>
      </c>
    </row>
    <row r="1665" spans="1:3" ht="11.25">
      <c r="A1665" s="3" t="str">
        <f>"913.5/36/a/MASAOKA"</f>
        <v>913.5/36/a/MASAOKA</v>
      </c>
      <c r="B1665" s="3">
        <f>""</f>
      </c>
      <c r="C1665" s="3" t="str">
        <f>"[源平] / [著者不明].-- [出版者不明]; [出版年不明]."</f>
        <v>[源平] / [著者不明].-- [出版者不明]; [出版年不明].</v>
      </c>
    </row>
    <row r="1666" spans="1:3" ht="11.25">
      <c r="A1666" s="3" t="str">
        <f>"913.5/37//MASAOKA"</f>
        <v>913.5/37//MASAOKA</v>
      </c>
      <c r="B1666" s="3" t="str">
        <f>"上・中・下巻"</f>
        <v>上・中・下巻</v>
      </c>
      <c r="C1666" s="3" t="str">
        <f>"君子威徳富貴機 / 九年坊作 ; 上・中・下巻.-- 宝屋大吉; 寛政10(1798)年1月刊."</f>
        <v>君子威徳富貴機 / 九年坊作 ; 上・中・下巻.-- 宝屋大吉; 寛政10(1798)年1月刊.</v>
      </c>
    </row>
    <row r="1667" spans="1:3" ht="11.25">
      <c r="A1667" s="3" t="str">
        <f>"913.5/38/1/MASAOKA"</f>
        <v>913.5/38/1/MASAOKA</v>
      </c>
      <c r="B1667" s="3" t="str">
        <f>"前編上"</f>
        <v>前編上</v>
      </c>
      <c r="C1667" s="3" t="str">
        <f>"敵討四万物語 / [楓亭猶錦作] ; 前編 上・中・下 - 前編下.-- 本材木町西宮版元; 享和3(1803)年刊."</f>
        <v>敵討四万物語 / [楓亭猶錦作] ; 前編 上・中・下 - 前編下.-- 本材木町西宮版元; 享和3(1803)年刊.</v>
      </c>
    </row>
    <row r="1668" spans="1:3" ht="11.25">
      <c r="A1668" s="3" t="str">
        <f>"913.5/38/2/MASAOKA"</f>
        <v>913.5/38/2/MASAOKA</v>
      </c>
      <c r="B1668" s="3" t="str">
        <f>"前編中"</f>
        <v>前編中</v>
      </c>
      <c r="C1668" s="3" t="str">
        <f>"敵討四万物語 / [楓亭猶錦作] ; 前編 上・中・下 - 前編下.-- 本材木町西宮版元; 享和3(1803)年刊."</f>
        <v>敵討四万物語 / [楓亭猶錦作] ; 前編 上・中・下 - 前編下.-- 本材木町西宮版元; 享和3(1803)年刊.</v>
      </c>
    </row>
    <row r="1669" spans="1:3" ht="11.25">
      <c r="A1669" s="3" t="str">
        <f>"913.5/38/3/MASAOKA"</f>
        <v>913.5/38/3/MASAOKA</v>
      </c>
      <c r="B1669" s="3" t="str">
        <f>"前編下"</f>
        <v>前編下</v>
      </c>
      <c r="C1669" s="3" t="str">
        <f>"敵討四万物語 / [楓亭猶錦作] ; 前編 上・中・下 - 前編下.-- 本材木町西宮版元; 享和3(1803)年刊."</f>
        <v>敵討四万物語 / [楓亭猶錦作] ; 前編 上・中・下 - 前編下.-- 本材木町西宮版元; 享和3(1803)年刊.</v>
      </c>
    </row>
    <row r="1670" spans="1:3" ht="11.25">
      <c r="A1670" s="3" t="str">
        <f>"913.5/39//MASAOKA"</f>
        <v>913.5/39//MASAOKA</v>
      </c>
      <c r="B1670" s="3" t="str">
        <f>"上・中・下"</f>
        <v>上・中・下</v>
      </c>
      <c r="C1670" s="3" t="str">
        <f>"頼政名歌芝 / [南杣笑楚満人] ; 上・中・下.-- [出版者不明]; [寛政7(1795)年刊]."</f>
        <v>頼政名歌芝 / [南杣笑楚満人] ; 上・中・下.-- [出版者不明]; [寛政7(1795)年刊].</v>
      </c>
    </row>
    <row r="1671" spans="1:3" ht="11.25">
      <c r="A1671" s="3" t="str">
        <f>"913.5/40/3/MASAOKA"</f>
        <v>913.5/40/3/MASAOKA</v>
      </c>
      <c r="B1671" s="3" t="str">
        <f>"巻3"</f>
        <v>巻3</v>
      </c>
      <c r="C1671" s="3" t="str">
        <f>"新うす雪物語 / [蘭[ケイ]子著] ; 巻3-4, 巻3, 巻4.-- [出版者不明]; [正徳6(1716)年刊]."</f>
        <v>新うす雪物語 / [蘭[ケイ]子著] ; 巻3-4, 巻3, 巻4.-- [出版者不明]; [正徳6(1716)年刊].</v>
      </c>
    </row>
    <row r="1672" spans="1:3" ht="11.25">
      <c r="A1672" s="3" t="str">
        <f>"913.5/40/4/MASAOKA"</f>
        <v>913.5/40/4/MASAOKA</v>
      </c>
      <c r="B1672" s="3" t="str">
        <f>"巻4"</f>
        <v>巻4</v>
      </c>
      <c r="C1672" s="3" t="str">
        <f>"新うす雪物語 / [蘭[ケイ]子著] ; 巻3-4, 巻3, 巻4.-- [出版者不明]; [正徳6(1716)年刊]."</f>
        <v>新うす雪物語 / [蘭[ケイ]子著] ; 巻3-4, 巻3, 巻4.-- [出版者不明]; [正徳6(1716)年刊].</v>
      </c>
    </row>
    <row r="1673" spans="1:3" ht="11.25">
      <c r="A1673" s="3" t="str">
        <f>"913.5/41//MASAOKA"</f>
        <v>913.5/41//MASAOKA</v>
      </c>
      <c r="B1673" s="3">
        <f>""</f>
      </c>
      <c r="C1673" s="3" t="str">
        <f>"瀧登 / 東西庵南北 . 其俤嫩丹前 / 東里山人.-- 甘泉堂; 文政2(1819)年刊."</f>
        <v>瀧登 / 東西庵南北 . 其俤嫩丹前 / 東里山人.-- 甘泉堂; 文政2(1819)年刊.</v>
      </c>
    </row>
    <row r="1674" spans="1:3" ht="11.25">
      <c r="A1674" s="3" t="str">
        <f>"913.5/42//MASAOKA"</f>
        <v>913.5/42//MASAOKA</v>
      </c>
      <c r="B1674" s="3">
        <f>""</f>
      </c>
      <c r="C1674" s="3" t="str">
        <f>"赤本百物語 / [著者不明].-- [出版者不明]; [出版年不明]."</f>
        <v>赤本百物語 / [著者不明].-- [出版者不明]; [出版年不明].</v>
      </c>
    </row>
    <row r="1675" spans="1:3" ht="11.25">
      <c r="A1675" s="3" t="str">
        <f>"913.5/43/1/MASAOKA"</f>
        <v>913.5/43/1/MASAOKA</v>
      </c>
      <c r="B1675" s="3" t="str">
        <f>"上"</f>
        <v>上</v>
      </c>
      <c r="C1675" s="3" t="str">
        <f>"将門一代記 / [著者不明] ; 上・下, 上, 下.-- 森治板; [出版年不明]."</f>
        <v>将門一代記 / [著者不明] ; 上・下, 上, 下.-- 森治板; [出版年不明].</v>
      </c>
    </row>
    <row r="1676" spans="1:3" ht="11.25">
      <c r="A1676" s="3" t="str">
        <f>"913.5/43/2/MASAOKA"</f>
        <v>913.5/43/2/MASAOKA</v>
      </c>
      <c r="B1676" s="3" t="str">
        <f>"下"</f>
        <v>下</v>
      </c>
      <c r="C1676" s="3" t="str">
        <f>"将門一代記 / [著者不明] ; 上・下, 上, 下.-- 森治板; [出版年不明]."</f>
        <v>将門一代記 / [著者不明] ; 上・下, 上, 下.-- 森治板; [出版年不明].</v>
      </c>
    </row>
    <row r="1677" spans="1:3" ht="11.25">
      <c r="A1677" s="3" t="str">
        <f>"913.5/44//MASAOKA"</f>
        <v>913.5/44//MASAOKA</v>
      </c>
      <c r="B1677" s="3">
        <f>""</f>
      </c>
      <c r="C1677" s="3" t="str">
        <f>"小児育草 / 一筆庵英寿作.-- 紅木堂; 嘉永7[安政1](1854)年春刊."</f>
        <v>小児育草 / 一筆庵英寿作.-- 紅木堂; 嘉永7[安政1](1854)年春刊.</v>
      </c>
    </row>
    <row r="1678" spans="1:3" ht="11.25">
      <c r="A1678" s="3" t="str">
        <f>"913.5/45//MASAOKA"</f>
        <v>913.5/45//MASAOKA</v>
      </c>
      <c r="B1678" s="3" t="str">
        <f>"下"</f>
        <v>下</v>
      </c>
      <c r="C1678" s="3" t="str">
        <f>"備前擂盆一代記 / 曲亭馬琴 ; 下.-- 蔦屋重三郎; [寛政12(1800)年]刊."</f>
        <v>備前擂盆一代記 / 曲亭馬琴 ; 下.-- 蔦屋重三郎; [寛政12(1800)年]刊.</v>
      </c>
    </row>
    <row r="1679" spans="1:3" ht="11.25">
      <c r="A1679" s="3" t="str">
        <f>"913.5/46//MASAOKA"</f>
        <v>913.5/46//MASAOKA</v>
      </c>
      <c r="B1679" s="3">
        <f>""</f>
      </c>
      <c r="C1679" s="3" t="str">
        <f>"世事第一口の軽業 / 振鷺亭主人.-- 仙?堂; 文化14(1817)年刊."</f>
        <v>世事第一口の軽業 / 振鷺亭主人.-- 仙?堂; 文化14(1817)年刊.</v>
      </c>
    </row>
    <row r="1680" spans="1:3" ht="11.25">
      <c r="A1680" s="3" t="str">
        <f>"913.5/47//MASAOKA"</f>
        <v>913.5/47//MASAOKA</v>
      </c>
      <c r="B1680" s="3">
        <f>""</f>
      </c>
      <c r="C1680" s="3" t="str">
        <f>"[復讐熊腹帯] / 山東京山.-- [出版者不明]; 文化5(1808)年刊."</f>
        <v>[復讐熊腹帯] / 山東京山.-- [出版者不明]; 文化5(1808)年刊.</v>
      </c>
    </row>
    <row r="1681" spans="1:3" ht="11.25">
      <c r="A1681" s="3" t="str">
        <f>"913.5/48//MASAOKA"</f>
        <v>913.5/48//MASAOKA</v>
      </c>
      <c r="B1681" s="3">
        <f>""</f>
      </c>
      <c r="C1681" s="3" t="str">
        <f>"かみ花 / 山東京伝.-- [出版者不明]; [出版年不明]."</f>
        <v>かみ花 / 山東京伝.-- [出版者不明]; [出版年不明].</v>
      </c>
    </row>
    <row r="1682" spans="1:3" ht="11.25">
      <c r="A1682" s="3" t="str">
        <f>"913.5/49//MASAOKA"</f>
        <v>913.5/49//MASAOKA</v>
      </c>
      <c r="B1682" s="3">
        <f>""</f>
      </c>
      <c r="C1682" s="3" t="str">
        <f>"仮名よみ八犬伝 / 曲亭琴童.-- 文渓堂; 安政3(1856)年刊."</f>
        <v>仮名よみ八犬伝 / 曲亭琴童.-- 文渓堂; 安政3(1856)年刊.</v>
      </c>
    </row>
    <row r="1683" spans="1:3" ht="11.25">
      <c r="A1683" s="3" t="str">
        <f>"913.5/50/1/MASAOKA"</f>
        <v>913.5/50/1/MASAOKA</v>
      </c>
      <c r="B1683" s="3" t="str">
        <f>"上の巻"</f>
        <v>上の巻</v>
      </c>
      <c r="C1683" s="3" t="str">
        <f>"都鳥花の魁 / 万亭応賀 ; 上の巻.-- 福川堂板; 弘化3(1846)年刊."</f>
        <v>都鳥花の魁 / 万亭応賀 ; 上の巻.-- 福川堂板; 弘化3(1846)年刊.</v>
      </c>
    </row>
    <row r="1684" spans="1:3" ht="11.25">
      <c r="A1684" s="3" t="str">
        <f>"913.5/51//MASAOKA"</f>
        <v>913.5/51//MASAOKA</v>
      </c>
      <c r="B1684" s="3" t="str">
        <f>"上・下"</f>
        <v>上・下</v>
      </c>
      <c r="C1684" s="3" t="str">
        <f>"世上洒落見絵図 / 山東京伝 ; 上・下.-- 蔦屋; [寛政3(1791)年刊]."</f>
        <v>世上洒落見絵図 / 山東京伝 ; 上・下.-- 蔦屋; [寛政3(1791)年刊].</v>
      </c>
    </row>
    <row r="1685" spans="1:3" ht="11.25">
      <c r="A1685" s="3" t="str">
        <f>"913.5/52//MASAOKA"</f>
        <v>913.5/52//MASAOKA</v>
      </c>
      <c r="B1685" s="3">
        <f>""</f>
      </c>
      <c r="C1685" s="3" t="str">
        <f>"朝比奈唐子遊 / [伊庭可笑] ; 上・中・下.-- 永寿堂; 天明1(1781)年刊."</f>
        <v>朝比奈唐子遊 / [伊庭可笑] ; 上・中・下.-- 永寿堂; 天明1(1781)年刊.</v>
      </c>
    </row>
    <row r="1686" spans="1:3" ht="11.25">
      <c r="A1686" s="3" t="str">
        <f>"913.5/53//MASAOKA"</f>
        <v>913.5/53//MASAOKA</v>
      </c>
      <c r="B1686" s="3" t="str">
        <f>"上・下"</f>
        <v>上・下</v>
      </c>
      <c r="C1686" s="3" t="str">
        <f>"小畑城芋合戦 / [著者不明] ; 上・下.-- [出版者不明]; [出版年不明]."</f>
        <v>小畑城芋合戦 / [著者不明] ; 上・下.-- [出版者不明]; [出版年不明].</v>
      </c>
    </row>
    <row r="1687" spans="1:3" ht="11.25">
      <c r="A1687" s="3" t="str">
        <f>"913.5/54//MASAOKA"</f>
        <v>913.5/54//MASAOKA</v>
      </c>
      <c r="B1687" s="3" t="str">
        <f>"8編上・下"</f>
        <v>8編上・下</v>
      </c>
      <c r="C1687" s="3" t="str">
        <f>"正本製 / 柳亭種彦作 ; 8編上・下.-- 永寿堂; 文政8(1825)年刊."</f>
        <v>正本製 / 柳亭種彦作 ; 8編上・下.-- 永寿堂; 文政8(1825)年刊.</v>
      </c>
    </row>
    <row r="1688" spans="1:3" ht="11.25">
      <c r="A1688" s="3" t="str">
        <f>"913.5/55//MASAOKA"</f>
        <v>913.5/55//MASAOKA</v>
      </c>
      <c r="B1688" s="3">
        <f>""</f>
      </c>
      <c r="C1688" s="3" t="str">
        <f>"西国奇談 / 二世為永春水 ; 14編上・下.-- 蔦屋吉蔵板; 文久2(1862)年刊."</f>
        <v>西国奇談 / 二世為永春水 ; 14編上・下.-- 蔦屋吉蔵板; 文久2(1862)年刊.</v>
      </c>
    </row>
    <row r="1689" spans="1:3" ht="11.25">
      <c r="A1689" s="3" t="str">
        <f>"913.5/56//MASAOKA"</f>
        <v>913.5/56//MASAOKA</v>
      </c>
      <c r="B1689" s="3" t="str">
        <f>"4編下"</f>
        <v>4編下</v>
      </c>
      <c r="C1689" s="3" t="str">
        <f>"葛の葉九重錦 / [万亭応賀] ; 4編下.-- 錦橋堂; 嘉永3(1850)年3月刊."</f>
        <v>葛の葉九重錦 / [万亭応賀] ; 4編下.-- 錦橋堂; 嘉永3(1850)年3月刊.</v>
      </c>
    </row>
    <row r="1690" spans="1:3" ht="11.25">
      <c r="A1690" s="3" t="str">
        <f>"913.5/57//MASAOKA"</f>
        <v>913.5/57//MASAOKA</v>
      </c>
      <c r="B1690" s="3" t="str">
        <f>"巻之12下"</f>
        <v>巻之12下</v>
      </c>
      <c r="C1690" s="3" t="str">
        <f>"春色連理の梅 / 二世梅暮里谷峩 ; 巻之12下.-- [中橋本 ]; [安政5(1858)年刊]."</f>
        <v>春色連理の梅 / 二世梅暮里谷峩 ; 巻之12下.-- [中橋本 ]; [安政5(1858)年刊].</v>
      </c>
    </row>
    <row r="1691" spans="1:3" ht="11.25">
      <c r="A1691" s="3" t="str">
        <f>"913.5/58//MASAOKA"</f>
        <v>913.5/58//MASAOKA</v>
      </c>
      <c r="B1691" s="3" t="str">
        <f>"9編上・下"</f>
        <v>9編上・下</v>
      </c>
      <c r="C1691" s="3" t="str">
        <f>"偐紫田舎源氏 / 柳亭種彦 ; 9編上・下.-- 千[寉]堂; 天保4(1833)年1月刊."</f>
        <v>偐紫田舎源氏 / 柳亭種彦 ; 9編上・下.-- 千[寉]堂; 天保4(1833)年1月刊.</v>
      </c>
    </row>
    <row r="1692" spans="1:3" ht="11.25">
      <c r="A1692" s="3" t="str">
        <f>"913.5/59//MASAOKA"</f>
        <v>913.5/59//MASAOKA</v>
      </c>
      <c r="B1692" s="3">
        <f>""</f>
      </c>
      <c r="C1692" s="3" t="str">
        <f>"十九はなし / 鳥居清経.-- 鱗形屋孫兵衛; [出版年不明]."</f>
        <v>十九はなし / 鳥居清経.-- 鱗形屋孫兵衛; [出版年不明].</v>
      </c>
    </row>
    <row r="1693" spans="1:3" ht="11.25">
      <c r="A1693" s="3" t="str">
        <f>"913.5/60//MASAOKA"</f>
        <v>913.5/60//MASAOKA</v>
      </c>
      <c r="B1693" s="3" t="str">
        <f>"上・中・下"</f>
        <v>上・中・下</v>
      </c>
      <c r="C1693" s="3" t="str">
        <f>"吉備能日本知恵 / 恋川春町作・画 ; 上・中・下.-- [出版者不明]; [天明4(1784)年刊]."</f>
        <v>吉備能日本知恵 / 恋川春町作・画 ; 上・中・下.-- [出版者不明]; [天明4(1784)年刊].</v>
      </c>
    </row>
    <row r="1694" spans="1:3" ht="11.25">
      <c r="A1694" s="3" t="str">
        <f>"913.5/61//MASAOKA"</f>
        <v>913.5/61//MASAOKA</v>
      </c>
      <c r="B1694" s="3" t="str">
        <f>"10編上・下"</f>
        <v>10編上・下</v>
      </c>
      <c r="C1694" s="3" t="str">
        <f>"足利絹手染紫 / [笠亭仙果] ; 10編上・下.-- 武井(版); [嘉永5(1852)年刊]."</f>
        <v>足利絹手染紫 / [笠亭仙果] ; 10編上・下.-- 武井(版); [嘉永5(1852)年刊].</v>
      </c>
    </row>
    <row r="1695" spans="1:3" ht="11.25">
      <c r="A1695" s="3" t="str">
        <f>"913.5/61/24/MASAOKA"</f>
        <v>913.5/61/24/MASAOKA</v>
      </c>
      <c r="B1695" s="3" t="str">
        <f>"24編上"</f>
        <v>24編上</v>
      </c>
      <c r="C1695" s="3" t="str">
        <f>"八犬伝犬の草紙 / [笠亭仙果] ; 24編上,32編上, 24編上, 32編上.-- 蔦屋吉蔵板; [嘉永6(1853)年刊]."</f>
        <v>八犬伝犬の草紙 / [笠亭仙果] ; 24編上,32編上, 24編上, 32編上.-- 蔦屋吉蔵板; [嘉永6(1853)年刊].</v>
      </c>
    </row>
    <row r="1696" spans="1:3" ht="11.25">
      <c r="A1696" s="3" t="str">
        <f>"913.5/61/32/MASAOKA"</f>
        <v>913.5/61/32/MASAOKA</v>
      </c>
      <c r="B1696" s="3" t="str">
        <f>"32編上"</f>
        <v>32編上</v>
      </c>
      <c r="C1696" s="3" t="str">
        <f>"八犬伝犬の草紙 / [笠亭仙果] ; 24編上,32編上, 24編上, 32編上.-- 蔦屋吉蔵板; [嘉永6(1853)年刊]."</f>
        <v>八犬伝犬の草紙 / [笠亭仙果] ; 24編上,32編上, 24編上, 32編上.-- 蔦屋吉蔵板; [嘉永6(1853)年刊].</v>
      </c>
    </row>
    <row r="1697" spans="1:3" ht="11.25">
      <c r="A1697" s="3" t="str">
        <f>"913.5/62//MASAOKA"</f>
        <v>913.5/62//MASAOKA</v>
      </c>
      <c r="B1697" s="3" t="str">
        <f>"2編上・下"</f>
        <v>2編上・下</v>
      </c>
      <c r="C1697" s="3" t="str">
        <f>"平家物語 / 松亭金水作 ; 2編上・下.-- 松寿堂[ほか1軒]; [天保7(1873)年刊]."</f>
        <v>平家物語 / 松亭金水作 ; 2編上・下.-- 松寿堂[ほか1軒]; [天保7(1873)年刊].</v>
      </c>
    </row>
    <row r="1698" spans="1:3" ht="11.25">
      <c r="A1698" s="3" t="str">
        <f>"913.5/63//MASAOKA"</f>
        <v>913.5/63//MASAOKA</v>
      </c>
      <c r="B1698" s="3" t="str">
        <f>"2編上・下"</f>
        <v>2編上・下</v>
      </c>
      <c r="C1698" s="3" t="str">
        <f>"柳幕魁双紙 / 為永瓢長作 ; 2編上・下.-- 辻岡屋文助; [安政1(1854)年刊]."</f>
        <v>柳幕魁双紙 / 為永瓢長作 ; 2編上・下.-- 辻岡屋文助; [安政1(1854)年刊].</v>
      </c>
    </row>
    <row r="1699" spans="1:3" ht="11.25">
      <c r="A1699" s="3" t="str">
        <f>"913.5/64//MASAOKA"</f>
        <v>913.5/64//MASAOKA</v>
      </c>
      <c r="B1699" s="3">
        <f>""</f>
      </c>
      <c r="C1699" s="3" t="str">
        <f>"茶歌舞妓茶目傘 / [芝全交].-- [出版者不明]; [天明7(1787)年刊]."</f>
        <v>茶歌舞妓茶目傘 / [芝全交].-- [出版者不明]; [天明7(1787)年刊].</v>
      </c>
    </row>
    <row r="1700" spans="1:3" ht="11.25">
      <c r="A1700" s="3" t="str">
        <f>"913.5/65//MASAOKA"</f>
        <v>913.5/65//MASAOKA</v>
      </c>
      <c r="B1700" s="3">
        <f>""</f>
      </c>
      <c r="C1700" s="3" t="str">
        <f>"せんじゅつ / 金々山人.-- [出版者不明]; [出版年不明]."</f>
        <v>せんじゅつ / 金々山人.-- [出版者不明]; [出版年不明].</v>
      </c>
    </row>
    <row r="1701" spans="1:3" ht="11.25">
      <c r="A1701" s="3" t="str">
        <f>"913.5/66//MASAOKA"</f>
        <v>913.5/66//MASAOKA</v>
      </c>
      <c r="B1701" s="3">
        <f>""</f>
      </c>
      <c r="C1701" s="3" t="str">
        <f>"うきく後 / 竹塚東子.-- [出版者不明]; [出版年不明]."</f>
        <v>うきく後 / 竹塚東子.-- [出版者不明]; [出版年不明].</v>
      </c>
    </row>
    <row r="1702" spans="1:3" ht="11.25">
      <c r="A1702" s="3" t="str">
        <f>"913.5/67//MASAOKA"</f>
        <v>913.5/67//MASAOKA</v>
      </c>
      <c r="B1702" s="3">
        <f>""</f>
      </c>
      <c r="C1702" s="3" t="str">
        <f>"かついろ / 富川房信.-- [出版者不明]; [出版年不明]."</f>
        <v>かついろ / 富川房信.-- [出版者不明]; [出版年不明].</v>
      </c>
    </row>
    <row r="1703" spans="1:3" ht="11.25">
      <c r="A1703" s="3" t="str">
        <f>"913.5/68//MASAOKA"</f>
        <v>913.5/68//MASAOKA</v>
      </c>
      <c r="B1703" s="3">
        <f>""</f>
      </c>
      <c r="C1703" s="3" t="str">
        <f>"れんりくるま . かまつか・そか / [著者不明].-- [出版者不明]; [出版年不明]."</f>
        <v>れんりくるま . かまつか・そか / [著者不明].-- [出版者不明]; [出版年不明].</v>
      </c>
    </row>
    <row r="1704" spans="1:3" ht="11.25">
      <c r="A1704" s="3" t="str">
        <f>"913.5/69//MASAOKA"</f>
        <v>913.5/69//MASAOKA</v>
      </c>
      <c r="B1704" s="3" t="str">
        <f>"2"</f>
        <v>2</v>
      </c>
      <c r="C1704" s="3" t="str">
        <f>"天地人脚色正本 / 河竹新七編 ; 2.-- 濱田屋徳兵衛[ほか1軒]; [嘉永8(1855)年刊]."</f>
        <v>天地人脚色正本 / 河竹新七編 ; 2.-- 濱田屋徳兵衛[ほか1軒]; [嘉永8(1855)年刊].</v>
      </c>
    </row>
    <row r="1705" spans="1:3" ht="11.25">
      <c r="A1705" s="3" t="str">
        <f>"913.5/70//MASAOKA"</f>
        <v>913.5/70//MASAOKA</v>
      </c>
      <c r="B1705" s="3">
        <f>""</f>
      </c>
      <c r="C1705" s="3" t="str">
        <f>"かけねなし / [市場通笑作].-- [出版者不明]; [安永8(1779)年刊]."</f>
        <v>かけねなし / [市場通笑作].-- [出版者不明]; [安永8(1779)年刊].</v>
      </c>
    </row>
    <row r="1706" spans="1:3" ht="11.25">
      <c r="A1706" s="3" t="str">
        <f>"913.5/71//MASAOKA"</f>
        <v>913.5/71//MASAOKA</v>
      </c>
      <c r="B1706" s="3">
        <f>""</f>
      </c>
      <c r="C1706" s="3" t="str">
        <f>"ともきり . 清盛一代記 . よりまさ / [著者不明].-- [出版者不明]; [出版年不明]."</f>
        <v>ともきり . 清盛一代記 . よりまさ / [著者不明].-- [出版者不明]; [出版年不明].</v>
      </c>
    </row>
    <row r="1707" spans="1:3" ht="11.25">
      <c r="A1707" s="3" t="str">
        <f>"913.5/72//MASAOKA"</f>
        <v>913.5/72//MASAOKA</v>
      </c>
      <c r="B1707" s="3">
        <f>""</f>
      </c>
      <c r="C1707" s="3" t="str">
        <f>"ひあふき / [著者不明].-- [出版者不明]; [出版年不明]."</f>
        <v>ひあふき / [著者不明].-- [出版者不明]; [出版年不明].</v>
      </c>
    </row>
    <row r="1708" spans="1:3" ht="11.25">
      <c r="A1708" s="3" t="str">
        <f>"913.5/73//MASAOKA"</f>
        <v>913.5/73//MASAOKA</v>
      </c>
      <c r="B1708" s="3" t="str">
        <f>"全"</f>
        <v>全</v>
      </c>
      <c r="C1708" s="3" t="str">
        <f>"絵本義経記 / [花山亭笑馬画] ; 全.-- [出版者不明]; [出版年不明]."</f>
        <v>絵本義経記 / [花山亭笑馬画] ; 全.-- [出版者不明]; [出版年不明].</v>
      </c>
    </row>
    <row r="1709" spans="1:3" ht="11.25">
      <c r="A1709" s="3" t="str">
        <f>"913.5/74/1/MASAOKA"</f>
        <v>913.5/74/1/MASAOKA</v>
      </c>
      <c r="B1709" s="3" t="str">
        <f>"1巻"</f>
        <v>1巻</v>
      </c>
      <c r="C1709" s="3" t="str">
        <f>"楠二代軍記 / 北尾政美作・画 ; 1-5巻 - 5巻.-- 丁子屋半兵衛; 寛政12(1800)年刊."</f>
        <v>楠二代軍記 / 北尾政美作・画 ; 1-5巻 - 5巻.-- 丁子屋半兵衛; 寛政12(1800)年刊.</v>
      </c>
    </row>
    <row r="1710" spans="1:3" ht="11.25">
      <c r="A1710" s="3" t="str">
        <f>"913.5/74/2/MASAOKA"</f>
        <v>913.5/74/2/MASAOKA</v>
      </c>
      <c r="B1710" s="3" t="str">
        <f>"2巻"</f>
        <v>2巻</v>
      </c>
      <c r="C1710" s="3" t="str">
        <f>"楠二代軍記 / 北尾政美作・画 ; 1-5巻 - 5巻.-- 丁子屋半兵衛; 寛政12(1800)年刊."</f>
        <v>楠二代軍記 / 北尾政美作・画 ; 1-5巻 - 5巻.-- 丁子屋半兵衛; 寛政12(1800)年刊.</v>
      </c>
    </row>
    <row r="1711" spans="1:3" ht="11.25">
      <c r="A1711" s="3" t="str">
        <f>"913.5/74/3/MASAOKA"</f>
        <v>913.5/74/3/MASAOKA</v>
      </c>
      <c r="B1711" s="3" t="str">
        <f>"3巻"</f>
        <v>3巻</v>
      </c>
      <c r="C1711" s="3" t="str">
        <f>"楠二代軍記 / 北尾政美作・画 ; 1-5巻 - 5巻.-- 丁子屋半兵衛; 寛政12(1800)年刊."</f>
        <v>楠二代軍記 / 北尾政美作・画 ; 1-5巻 - 5巻.-- 丁子屋半兵衛; 寛政12(1800)年刊.</v>
      </c>
    </row>
    <row r="1712" spans="1:3" ht="11.25">
      <c r="A1712" s="3" t="str">
        <f>"913.5/74/4/MASAOKA"</f>
        <v>913.5/74/4/MASAOKA</v>
      </c>
      <c r="B1712" s="3" t="str">
        <f>"4巻"</f>
        <v>4巻</v>
      </c>
      <c r="C1712" s="3" t="str">
        <f>"楠二代軍記 / 北尾政美作・画 ; 1-5巻 - 5巻.-- 丁子屋半兵衛; 寛政12(1800)年刊."</f>
        <v>楠二代軍記 / 北尾政美作・画 ; 1-5巻 - 5巻.-- 丁子屋半兵衛; 寛政12(1800)年刊.</v>
      </c>
    </row>
    <row r="1713" spans="1:3" ht="11.25">
      <c r="A1713" s="3" t="str">
        <f>"913.5/74/5/MASAOKA"</f>
        <v>913.5/74/5/MASAOKA</v>
      </c>
      <c r="B1713" s="3" t="str">
        <f>"5巻"</f>
        <v>5巻</v>
      </c>
      <c r="C1713" s="3" t="str">
        <f>"楠二代軍記 / 北尾政美作・画 ; 1-5巻 - 5巻.-- 丁子屋半兵衛; 寛政12(1800)年刊."</f>
        <v>楠二代軍記 / 北尾政美作・画 ; 1-5巻 - 5巻.-- 丁子屋半兵衛; 寛政12(1800)年刊.</v>
      </c>
    </row>
    <row r="1714" spans="1:3" ht="11.25">
      <c r="A1714" s="3" t="str">
        <f>"913.5/75/7-8/MASAOKA"</f>
        <v>913.5/75/7-8/MASAOKA</v>
      </c>
      <c r="B1714" s="3">
        <f>""</f>
      </c>
      <c r="C1714" s="3" t="str">
        <f>"伽婢子 / 瓢水子松雲.-- [出版者不明]; 寛文6(1794)年刊."</f>
        <v>伽婢子 / 瓢水子松雲.-- [出版者不明]; 寛文6(1794)年刊.</v>
      </c>
    </row>
    <row r="1715" spans="1:3" ht="11.25">
      <c r="A1715" s="3" t="str">
        <f>"913.5/76//MASAOKA"</f>
        <v>913.5/76//MASAOKA</v>
      </c>
      <c r="B1715" s="3">
        <f>""</f>
      </c>
      <c r="C1715" s="3" t="str">
        <f>"画噺百の笑 / 浪華一九作.-- 大和田左吉; 文化8(1811)年4月刊."</f>
        <v>画噺百の笑 / 浪華一九作.-- 大和田左吉; 文化8(1811)年4月刊.</v>
      </c>
    </row>
    <row r="1716" spans="1:3" ht="11.25">
      <c r="A1716" s="3" t="str">
        <f>"913.5/77//MASAOKA"</f>
        <v>913.5/77//MASAOKA</v>
      </c>
      <c r="B1716" s="3">
        <f>""</f>
      </c>
      <c r="C1716" s="3" t="str">
        <f>"[武将錦陳幕] / [著者不明].-- [出版者不明]; [出版年不明]."</f>
        <v>[武将錦陳幕] / [著者不明].-- [出版者不明]; [出版年不明].</v>
      </c>
    </row>
    <row r="1717" spans="1:3" ht="11.25">
      <c r="A1717" s="3" t="str">
        <f>"913.5/78//MASAOKA"</f>
        <v>913.5/78//MASAOKA</v>
      </c>
      <c r="B1717" s="3">
        <f>""</f>
      </c>
      <c r="C1717" s="3" t="str">
        <f>"うその草妖物社童子四季友[ほか] / [著者不明].-- [出版者不明]; [出版年不明]."</f>
        <v>うその草妖物社童子四季友[ほか] / [著者不明].-- [出版者不明]; [出版年不明].</v>
      </c>
    </row>
    <row r="1718" spans="1:3" ht="11.25">
      <c r="A1718" s="3" t="str">
        <f>"913.5/79//MASAOKA"</f>
        <v>913.5/79//MASAOKA</v>
      </c>
      <c r="B1718" s="3">
        <f>""</f>
      </c>
      <c r="C1718" s="3" t="str">
        <f>"絵本小栗一代記 / 南仙笑楚満人.-- [出版者不明]; [出版年不明]."</f>
        <v>絵本小栗一代記 / 南仙笑楚満人.-- [出版者不明]; [出版年不明].</v>
      </c>
    </row>
    <row r="1719" spans="1:3" ht="11.25">
      <c r="A1719" s="3" t="str">
        <f>"913.5/80//MASAOKA"</f>
        <v>913.5/80//MASAOKA</v>
      </c>
      <c r="B1719" s="3">
        <f>""</f>
      </c>
      <c r="C1719" s="3" t="str">
        <f>"子宝山 / 十返舎一九作 ; 全.-- [出版者不明]; 享和3(1803)年刊."</f>
        <v>子宝山 / 十返舎一九作 ; 全.-- [出版者不明]; 享和3(1803)年刊.</v>
      </c>
    </row>
    <row r="1720" spans="1:3" ht="11.25">
      <c r="A1720" s="3" t="str">
        <f>"913.5/81/1/MASAOKA"</f>
        <v>913.5/81/1/MASAOKA</v>
      </c>
      <c r="B1720" s="3" t="str">
        <f>"第1輯: 1-5巻"</f>
        <v>第1輯: 1-5巻</v>
      </c>
      <c r="C1720" s="3" t="str">
        <f aca="true" t="shared" si="33" ref="C1720:C1729">"里見八犬伝 / 曲亭馬琴 ; 第1-5,6(上),7(上・下),8-9輯 - 第6輯(上).-- 著作館; 明治15-16(1882-1883)年刊."</f>
        <v>里見八犬伝 / 曲亭馬琴 ; 第1-5,6(上),7(上・下),8-9輯 - 第6輯(上).-- 著作館; 明治15-16(1882-1883)年刊.</v>
      </c>
    </row>
    <row r="1721" spans="1:3" ht="11.25">
      <c r="A1721" s="3" t="str">
        <f>"913.5/81/2/MASAOKA"</f>
        <v>913.5/81/2/MASAOKA</v>
      </c>
      <c r="B1721" s="3" t="str">
        <f>"第2輯: 6-10巻"</f>
        <v>第2輯: 6-10巻</v>
      </c>
      <c r="C1721" s="3" t="str">
        <f t="shared" si="33"/>
        <v>里見八犬伝 / 曲亭馬琴 ; 第1-5,6(上),7(上・下),8-9輯 - 第6輯(上).-- 著作館; 明治15-16(1882-1883)年刊.</v>
      </c>
    </row>
    <row r="1722" spans="1:3" ht="11.25">
      <c r="A1722" s="3" t="str">
        <f>"913.5/81/3/MASAOKA"</f>
        <v>913.5/81/3/MASAOKA</v>
      </c>
      <c r="B1722" s="3" t="str">
        <f>"第3輯"</f>
        <v>第3輯</v>
      </c>
      <c r="C1722" s="3" t="str">
        <f t="shared" si="33"/>
        <v>里見八犬伝 / 曲亭馬琴 ; 第1-5,6(上),7(上・下),8-9輯 - 第6輯(上).-- 著作館; 明治15-16(1882-1883)年刊.</v>
      </c>
    </row>
    <row r="1723" spans="1:3" ht="11.25">
      <c r="A1723" s="3" t="str">
        <f>"913.5/81/4/MASAOKA"</f>
        <v>913.5/81/4/MASAOKA</v>
      </c>
      <c r="B1723" s="3" t="str">
        <f>"第4輯"</f>
        <v>第4輯</v>
      </c>
      <c r="C1723" s="3" t="str">
        <f t="shared" si="33"/>
        <v>里見八犬伝 / 曲亭馬琴 ; 第1-5,6(上),7(上・下),8-9輯 - 第6輯(上).-- 著作館; 明治15-16(1882-1883)年刊.</v>
      </c>
    </row>
    <row r="1724" spans="1:3" ht="11.25">
      <c r="A1724" s="3" t="str">
        <f>"913.5/81/5/MASAOKA"</f>
        <v>913.5/81/5/MASAOKA</v>
      </c>
      <c r="B1724" s="3" t="str">
        <f>"第5輯"</f>
        <v>第5輯</v>
      </c>
      <c r="C1724" s="3" t="str">
        <f t="shared" si="33"/>
        <v>里見八犬伝 / 曲亭馬琴 ; 第1-5,6(上),7(上・下),8-9輯 - 第6輯(上).-- 著作館; 明治15-16(1882-1883)年刊.</v>
      </c>
    </row>
    <row r="1725" spans="1:3" ht="11.25">
      <c r="A1725" s="3" t="str">
        <f>"913.5/81/6-1/MASAOKA"</f>
        <v>913.5/81/6-1/MASAOKA</v>
      </c>
      <c r="B1725" s="3" t="str">
        <f>"第6輯(上)"</f>
        <v>第6輯(上)</v>
      </c>
      <c r="C1725" s="3" t="str">
        <f t="shared" si="33"/>
        <v>里見八犬伝 / 曲亭馬琴 ; 第1-5,6(上),7(上・下),8-9輯 - 第6輯(上).-- 著作館; 明治15-16(1882-1883)年刊.</v>
      </c>
    </row>
    <row r="1726" spans="1:3" ht="11.25">
      <c r="A1726" s="3" t="str">
        <f>"913.5/81/7-1/MASAOKA"</f>
        <v>913.5/81/7-1/MASAOKA</v>
      </c>
      <c r="B1726" s="3" t="str">
        <f>"第7輯: 上"</f>
        <v>第7輯: 上</v>
      </c>
      <c r="C1726" s="3" t="str">
        <f t="shared" si="33"/>
        <v>里見八犬伝 / 曲亭馬琴 ; 第1-5,6(上),7(上・下),8-9輯 - 第6輯(上).-- 著作館; 明治15-16(1882-1883)年刊.</v>
      </c>
    </row>
    <row r="1727" spans="1:3" ht="11.25">
      <c r="A1727" s="3" t="str">
        <f>"913.5/81/7-2/MASAOKA"</f>
        <v>913.5/81/7-2/MASAOKA</v>
      </c>
      <c r="B1727" s="3" t="str">
        <f>"第7輯: 下"</f>
        <v>第7輯: 下</v>
      </c>
      <c r="C1727" s="3" t="str">
        <f t="shared" si="33"/>
        <v>里見八犬伝 / 曲亭馬琴 ; 第1-5,6(上),7(上・下),8-9輯 - 第6輯(上).-- 著作館; 明治15-16(1882-1883)年刊.</v>
      </c>
    </row>
    <row r="1728" spans="1:3" ht="11.25">
      <c r="A1728" s="3" t="str">
        <f>"913.5/81/8/MASAOKA"</f>
        <v>913.5/81/8/MASAOKA</v>
      </c>
      <c r="B1728" s="3" t="str">
        <f>"第8輯"</f>
        <v>第8輯</v>
      </c>
      <c r="C1728" s="3" t="str">
        <f t="shared" si="33"/>
        <v>里見八犬伝 / 曲亭馬琴 ; 第1-5,6(上),7(上・下),8-9輯 - 第6輯(上).-- 著作館; 明治15-16(1882-1883)年刊.</v>
      </c>
    </row>
    <row r="1729" spans="1:3" ht="11.25">
      <c r="A1729" s="3" t="str">
        <f>"913.5/81/9/MASAOKA"</f>
        <v>913.5/81/9/MASAOKA</v>
      </c>
      <c r="B1729" s="3" t="str">
        <f>"第9輯"</f>
        <v>第9輯</v>
      </c>
      <c r="C1729" s="3" t="str">
        <f t="shared" si="33"/>
        <v>里見八犬伝 / 曲亭馬琴 ; 第1-5,6(上),7(上・下),8-9輯 - 第6輯(上).-- 著作館; 明治15-16(1882-1883)年刊.</v>
      </c>
    </row>
    <row r="1730" spans="1:3" ht="11.25">
      <c r="A1730" s="3" t="str">
        <f>"913.5/82/1/MASAOKA"</f>
        <v>913.5/82/1/MASAOKA</v>
      </c>
      <c r="B1730" s="3" t="str">
        <f>"1-3巻"</f>
        <v>1-3巻</v>
      </c>
      <c r="C1730" s="3" t="str">
        <f>"艶廓通覧 / 同蘿山人著 ; 1-5巻, 1-3巻, 4-5巻.-- 柏原屋重兵衛[ほか4軒]; 寛政12(1800)年3月刊."</f>
        <v>艶廓通覧 / 同蘿山人著 ; 1-5巻, 1-3巻, 4-5巻.-- 柏原屋重兵衛[ほか4軒]; 寛政12(1800)年3月刊.</v>
      </c>
    </row>
    <row r="1731" spans="1:3" ht="11.25">
      <c r="A1731" s="3" t="str">
        <f>"913.5/82/2/MASAOKA"</f>
        <v>913.5/82/2/MASAOKA</v>
      </c>
      <c r="B1731" s="3" t="str">
        <f>"4-5巻"</f>
        <v>4-5巻</v>
      </c>
      <c r="C1731" s="3" t="str">
        <f>"艶廓通覧 / 同蘿山人著 ; 1-5巻, 1-3巻, 4-5巻.-- 柏原屋重兵衛[ほか4軒]; 寛政12(1800)年3月刊."</f>
        <v>艶廓通覧 / 同蘿山人著 ; 1-5巻, 1-3巻, 4-5巻.-- 柏原屋重兵衛[ほか4軒]; 寛政12(1800)年3月刊.</v>
      </c>
    </row>
    <row r="1732" spans="1:3" ht="11.25">
      <c r="A1732" s="3" t="str">
        <f>"913.5/83/1/MASAOKA"</f>
        <v>913.5/83/1/MASAOKA</v>
      </c>
      <c r="B1732" s="3" t="str">
        <f>"1巻"</f>
        <v>1巻</v>
      </c>
      <c r="C1732" s="3" t="str">
        <f aca="true" t="shared" si="34" ref="C1732:C1737">"飛騨匠物語 / [六樹園飯盛作] ; 1-6巻 - 6巻.-- 河内屋茂兵衛; [文化5(1808)年刊]."</f>
        <v>飛騨匠物語 / [六樹園飯盛作] ; 1-6巻 - 6巻.-- 河内屋茂兵衛; [文化5(1808)年刊].</v>
      </c>
    </row>
    <row r="1733" spans="1:3" ht="11.25">
      <c r="A1733" s="3" t="str">
        <f>"913.5/83/2/MASAOKA"</f>
        <v>913.5/83/2/MASAOKA</v>
      </c>
      <c r="B1733" s="3" t="str">
        <f>"2巻"</f>
        <v>2巻</v>
      </c>
      <c r="C1733" s="3" t="str">
        <f t="shared" si="34"/>
        <v>飛騨匠物語 / [六樹園飯盛作] ; 1-6巻 - 6巻.-- 河内屋茂兵衛; [文化5(1808)年刊].</v>
      </c>
    </row>
    <row r="1734" spans="1:3" ht="11.25">
      <c r="A1734" s="3" t="str">
        <f>"913.5/83/3/MASAOKA"</f>
        <v>913.5/83/3/MASAOKA</v>
      </c>
      <c r="B1734" s="3" t="str">
        <f>"3巻"</f>
        <v>3巻</v>
      </c>
      <c r="C1734" s="3" t="str">
        <f t="shared" si="34"/>
        <v>飛騨匠物語 / [六樹園飯盛作] ; 1-6巻 - 6巻.-- 河内屋茂兵衛; [文化5(1808)年刊].</v>
      </c>
    </row>
    <row r="1735" spans="1:3" ht="11.25">
      <c r="A1735" s="3" t="str">
        <f>"913.5/83/4/MASAOKA"</f>
        <v>913.5/83/4/MASAOKA</v>
      </c>
      <c r="B1735" s="3" t="str">
        <f>"4巻"</f>
        <v>4巻</v>
      </c>
      <c r="C1735" s="3" t="str">
        <f t="shared" si="34"/>
        <v>飛騨匠物語 / [六樹園飯盛作] ; 1-6巻 - 6巻.-- 河内屋茂兵衛; [文化5(1808)年刊].</v>
      </c>
    </row>
    <row r="1736" spans="1:3" ht="11.25">
      <c r="A1736" s="3" t="str">
        <f>"913.5/83/5/MASAOKA"</f>
        <v>913.5/83/5/MASAOKA</v>
      </c>
      <c r="B1736" s="3" t="str">
        <f>"5巻"</f>
        <v>5巻</v>
      </c>
      <c r="C1736" s="3" t="str">
        <f t="shared" si="34"/>
        <v>飛騨匠物語 / [六樹園飯盛作] ; 1-6巻 - 6巻.-- 河内屋茂兵衛; [文化5(1808)年刊].</v>
      </c>
    </row>
    <row r="1737" spans="1:3" ht="11.25">
      <c r="A1737" s="3" t="str">
        <f>"913.5/83/6/MASAOKA"</f>
        <v>913.5/83/6/MASAOKA</v>
      </c>
      <c r="B1737" s="3" t="str">
        <f>"6巻"</f>
        <v>6巻</v>
      </c>
      <c r="C1737" s="3" t="str">
        <f t="shared" si="34"/>
        <v>飛騨匠物語 / [六樹園飯盛作] ; 1-6巻 - 6巻.-- 河内屋茂兵衛; [文化5(1808)年刊].</v>
      </c>
    </row>
    <row r="1738" spans="1:3" ht="11.25">
      <c r="A1738" s="3" t="str">
        <f>"913.5/84/1/MASAOKA"</f>
        <v>913.5/84/1/MASAOKA</v>
      </c>
      <c r="B1738" s="3" t="str">
        <f>"1巻"</f>
        <v>1巻</v>
      </c>
      <c r="C1738" s="3" t="str">
        <f>"養漢裸百貫 / [スイ]川子著 ; 1-5巻 - 5巻.-- 蓍屋善助[ほか2軒]; 寛政8(1796)年1月刊."</f>
        <v>養漢裸百貫 / [スイ]川子著 ; 1-5巻 - 5巻.-- 蓍屋善助[ほか2軒]; 寛政8(1796)年1月刊.</v>
      </c>
    </row>
    <row r="1739" spans="1:3" ht="11.25">
      <c r="A1739" s="3" t="str">
        <f>"913.5/84/2/MASAOKA"</f>
        <v>913.5/84/2/MASAOKA</v>
      </c>
      <c r="B1739" s="3" t="str">
        <f>"2巻"</f>
        <v>2巻</v>
      </c>
      <c r="C1739" s="3" t="str">
        <f>"養漢裸百貫 / [スイ]川子著 ; 1-5巻 - 5巻.-- 蓍屋善助[ほか2軒]; 寛政8(1796)年1月刊."</f>
        <v>養漢裸百貫 / [スイ]川子著 ; 1-5巻 - 5巻.-- 蓍屋善助[ほか2軒]; 寛政8(1796)年1月刊.</v>
      </c>
    </row>
    <row r="1740" spans="1:3" ht="11.25">
      <c r="A1740" s="3" t="str">
        <f>"913.5/84/3/MASAOKA"</f>
        <v>913.5/84/3/MASAOKA</v>
      </c>
      <c r="B1740" s="3" t="str">
        <f>"3巻"</f>
        <v>3巻</v>
      </c>
      <c r="C1740" s="3" t="str">
        <f>"養漢裸百貫 / [スイ]川子著 ; 1-5巻 - 5巻.-- 蓍屋善助[ほか2軒]; 寛政8(1796)年1月刊."</f>
        <v>養漢裸百貫 / [スイ]川子著 ; 1-5巻 - 5巻.-- 蓍屋善助[ほか2軒]; 寛政8(1796)年1月刊.</v>
      </c>
    </row>
    <row r="1741" spans="1:3" ht="11.25">
      <c r="A1741" s="3" t="str">
        <f>"913.5/84/4/MASAOKA"</f>
        <v>913.5/84/4/MASAOKA</v>
      </c>
      <c r="B1741" s="3" t="str">
        <f>"4巻"</f>
        <v>4巻</v>
      </c>
      <c r="C1741" s="3" t="str">
        <f>"養漢裸百貫 / [スイ]川子著 ; 1-5巻 - 5巻.-- 蓍屋善助[ほか2軒]; 寛政8(1796)年1月刊."</f>
        <v>養漢裸百貫 / [スイ]川子著 ; 1-5巻 - 5巻.-- 蓍屋善助[ほか2軒]; 寛政8(1796)年1月刊.</v>
      </c>
    </row>
    <row r="1742" spans="1:3" ht="11.25">
      <c r="A1742" s="3" t="str">
        <f>"913.5/84/5/MASAOKA"</f>
        <v>913.5/84/5/MASAOKA</v>
      </c>
      <c r="B1742" s="3" t="str">
        <f>"5巻"</f>
        <v>5巻</v>
      </c>
      <c r="C1742" s="3" t="str">
        <f>"養漢裸百貫 / [スイ]川子著 ; 1-5巻 - 5巻.-- 蓍屋善助[ほか2軒]; 寛政8(1796)年1月刊."</f>
        <v>養漢裸百貫 / [スイ]川子著 ; 1-5巻 - 5巻.-- 蓍屋善助[ほか2軒]; 寛政8(1796)年1月刊.</v>
      </c>
    </row>
    <row r="1743" spans="1:3" ht="11.25">
      <c r="A1743" s="3" t="str">
        <f>"913.5/85/3/MASAOKA"</f>
        <v>913.5/85/3/MASAOKA</v>
      </c>
      <c r="B1743" s="3" t="str">
        <f>"3之巻"</f>
        <v>3之巻</v>
      </c>
      <c r="C1743" s="3" t="str">
        <f>"忠孝寿門松 / [八文字自笑著] ; 3-4之巻, 3之巻, 4之巻.-- [出版者不明]; [元文3(1738)年刊]."</f>
        <v>忠孝寿門松 / [八文字自笑著] ; 3-4之巻, 3之巻, 4之巻.-- [出版者不明]; [元文3(1738)年刊].</v>
      </c>
    </row>
    <row r="1744" spans="1:3" ht="11.25">
      <c r="A1744" s="3" t="str">
        <f>"913.5/85/4/MASAOKA"</f>
        <v>913.5/85/4/MASAOKA</v>
      </c>
      <c r="B1744" s="3" t="str">
        <f>"4之巻"</f>
        <v>4之巻</v>
      </c>
      <c r="C1744" s="3" t="str">
        <f>"忠孝寿門松 / [八文字自笑著] ; 3-4之巻, 3之巻, 4之巻.-- [出版者不明]; [元文3(1738)年刊]."</f>
        <v>忠孝寿門松 / [八文字自笑著] ; 3-4之巻, 3之巻, 4之巻.-- [出版者不明]; [元文3(1738)年刊].</v>
      </c>
    </row>
    <row r="1745" spans="1:3" ht="11.25">
      <c r="A1745" s="3" t="str">
        <f>"913.5/86/1/MASAOKA"</f>
        <v>913.5/86/1/MASAOKA</v>
      </c>
      <c r="B1745" s="3" t="str">
        <f>"上巻"</f>
        <v>上巻</v>
      </c>
      <c r="C1745" s="3" t="str">
        <f>"末代噺語掃寄草紙 / [連台道子編] ; 上・中・下巻 - 下巻.-- 武江高麗氏蔵; 安政5(1858)年10月刊."</f>
        <v>末代噺語掃寄草紙 / [連台道子編] ; 上・中・下巻 - 下巻.-- 武江高麗氏蔵; 安政5(1858)年10月刊.</v>
      </c>
    </row>
    <row r="1746" spans="1:3" ht="11.25">
      <c r="A1746" s="3" t="str">
        <f>"913.5/86/2/MASAOKA"</f>
        <v>913.5/86/2/MASAOKA</v>
      </c>
      <c r="B1746" s="3" t="str">
        <f>"中巻"</f>
        <v>中巻</v>
      </c>
      <c r="C1746" s="3" t="str">
        <f>"末代噺語掃寄草紙 / [連台道子編] ; 上・中・下巻 - 下巻.-- 武江高麗氏蔵; 安政5(1858)年10月刊."</f>
        <v>末代噺語掃寄草紙 / [連台道子編] ; 上・中・下巻 - 下巻.-- 武江高麗氏蔵; 安政5(1858)年10月刊.</v>
      </c>
    </row>
    <row r="1747" spans="1:3" ht="11.25">
      <c r="A1747" s="3" t="str">
        <f>"913.5/86/3/MASAOKA"</f>
        <v>913.5/86/3/MASAOKA</v>
      </c>
      <c r="B1747" s="3" t="str">
        <f>"下巻"</f>
        <v>下巻</v>
      </c>
      <c r="C1747" s="3" t="str">
        <f>"末代噺語掃寄草紙 / [連台道子編] ; 上・中・下巻 - 下巻.-- 武江高麗氏蔵; 安政5(1858)年10月刊."</f>
        <v>末代噺語掃寄草紙 / [連台道子編] ; 上・中・下巻 - 下巻.-- 武江高麗氏蔵; 安政5(1858)年10月刊.</v>
      </c>
    </row>
    <row r="1748" spans="1:3" ht="11.25">
      <c r="A1748" s="3" t="str">
        <f>"913.5/87/1/MASAOKA"</f>
        <v>913.5/87/1/MASAOKA</v>
      </c>
      <c r="B1748" s="3" t="str">
        <f>"初編上巻"</f>
        <v>初編上巻</v>
      </c>
      <c r="C1748" s="3" t="str">
        <f>"春色三題噺 / 春廼家幾久 ; 初編上・中・下巻 - 初編下巻.-- [出版者不明]; [元治1(1864)年刊]."</f>
        <v>春色三題噺 / 春廼家幾久 ; 初編上・中・下巻 - 初編下巻.-- [出版者不明]; [元治1(1864)年刊].</v>
      </c>
    </row>
    <row r="1749" spans="1:3" ht="11.25">
      <c r="A1749" s="3" t="str">
        <f>"913.5/87/2/MASAOKA"</f>
        <v>913.5/87/2/MASAOKA</v>
      </c>
      <c r="B1749" s="3" t="str">
        <f>"初編中巻"</f>
        <v>初編中巻</v>
      </c>
      <c r="C1749" s="3" t="str">
        <f>"春色三題噺 / 春廼家幾久 ; 初編上・中・下巻 - 初編下巻.-- [出版者不明]; [元治1(1864)年刊]."</f>
        <v>春色三題噺 / 春廼家幾久 ; 初編上・中・下巻 - 初編下巻.-- [出版者不明]; [元治1(1864)年刊].</v>
      </c>
    </row>
    <row r="1750" spans="1:3" ht="11.25">
      <c r="A1750" s="3" t="str">
        <f>"913.5/87/3/MASAOKA"</f>
        <v>913.5/87/3/MASAOKA</v>
      </c>
      <c r="B1750" s="3" t="str">
        <f>"初編下巻"</f>
        <v>初編下巻</v>
      </c>
      <c r="C1750" s="3" t="str">
        <f>"春色三題噺 / 春廼家幾久 ; 初編上・中・下巻 - 初編下巻.-- [出版者不明]; [元治1(1864)年刊]."</f>
        <v>春色三題噺 / 春廼家幾久 ; 初編上・中・下巻 - 初編下巻.-- [出版者不明]; [元治1(1864)年刊].</v>
      </c>
    </row>
    <row r="1751" spans="1:3" ht="11.25">
      <c r="A1751" s="3" t="str">
        <f>"913.5/88/1/MASAOKA"</f>
        <v>913.5/88/1/MASAOKA</v>
      </c>
      <c r="B1751" s="3" t="str">
        <f>"上"</f>
        <v>上</v>
      </c>
      <c r="C1751" s="3" t="str">
        <f>"風來先生春遊記 / 陳奮翰著 ; 寝惚先生批評 ; 醉多道士加評 ; 上, 下.-- 武田傳右衛門 : 大川錠吉; 1889.5."</f>
        <v>風來先生春遊記 / 陳奮翰著 ; 寝惚先生批評 ; 醉多道士加評 ; 上, 下.-- 武田傳右衛門 : 大川錠吉; 1889.5.</v>
      </c>
    </row>
    <row r="1752" spans="1:3" ht="11.25">
      <c r="A1752" s="3" t="str">
        <f>"913.5/88/2/MASAOKA"</f>
        <v>913.5/88/2/MASAOKA</v>
      </c>
      <c r="B1752" s="3" t="str">
        <f>"下"</f>
        <v>下</v>
      </c>
      <c r="C1752" s="3" t="str">
        <f>"風來先生春遊記 / 陳奮翰著 ; 寝惚先生批評 ; 醉多道士加評 ; 上, 下.-- 武田傳右衛門 : 大川錠吉; 1889.5."</f>
        <v>風來先生春遊記 / 陳奮翰著 ; 寝惚先生批評 ; 醉多道士加評 ; 上, 下.-- 武田傳右衛門 : 大川錠吉; 1889.5.</v>
      </c>
    </row>
    <row r="1753" spans="1:3" ht="11.25">
      <c r="A1753" s="3" t="str">
        <f>"913.5/89//MASAOKA"</f>
        <v>913.5/89//MASAOKA</v>
      </c>
      <c r="B1753" s="3">
        <f>""</f>
      </c>
      <c r="C1753" s="3" t="str">
        <f>"賎のおだまき / [著者不明].-- 二書房; 明治18(1885)年10月."</f>
        <v>賎のおだまき / [著者不明].-- 二書房; 明治18(1885)年10月.</v>
      </c>
    </row>
    <row r="1754" spans="1:3" ht="11.25">
      <c r="A1754" s="3" t="str">
        <f>"913.5/90//MASAOKA"</f>
        <v>913.5/90//MASAOKA</v>
      </c>
      <c r="B1754" s="3" t="str">
        <f>"34-37"</f>
        <v>34-37</v>
      </c>
      <c r="C1754" s="3" t="str">
        <f>"前太平記 / 北尾政義画 ; 34-37.-- 西宮; [出版年不明]."</f>
        <v>前太平記 / 北尾政義画 ; 34-37.-- 西宮; [出版年不明].</v>
      </c>
    </row>
    <row r="1755" spans="1:3" ht="11.25">
      <c r="A1755" s="3" t="str">
        <f>"913.5/91/1/MASAOKA"</f>
        <v>913.5/91/1/MASAOKA</v>
      </c>
      <c r="B1755" s="3" t="str">
        <f>"初篇"</f>
        <v>初篇</v>
      </c>
      <c r="C1755" s="3" t="str">
        <f>"絵本甲越軍記 / [速水春暁斎作] 玉蘭斎(歌川)貞秀輯・画 ; 初,2,4篇 - 4篇.-- 藤岡屋慶治郎; [出版年不明]."</f>
        <v>絵本甲越軍記 / [速水春暁斎作] 玉蘭斎(歌川)貞秀輯・画 ; 初,2,4篇 - 4篇.-- 藤岡屋慶治郎; [出版年不明].</v>
      </c>
    </row>
    <row r="1756" spans="1:3" ht="11.25">
      <c r="A1756" s="3" t="str">
        <f>"913.5/91/2/MASAOKA"</f>
        <v>913.5/91/2/MASAOKA</v>
      </c>
      <c r="B1756" s="3" t="str">
        <f>"2篇"</f>
        <v>2篇</v>
      </c>
      <c r="C1756" s="3" t="str">
        <f>"絵本甲越軍記 / [速水春暁斎作] 玉蘭斎(歌川)貞秀輯・画 ; 初,2,4篇 - 4篇.-- 藤岡屋慶治郎; [出版年不明]."</f>
        <v>絵本甲越軍記 / [速水春暁斎作] 玉蘭斎(歌川)貞秀輯・画 ; 初,2,4篇 - 4篇.-- 藤岡屋慶治郎; [出版年不明].</v>
      </c>
    </row>
    <row r="1757" spans="1:3" ht="11.25">
      <c r="A1757" s="3" t="str">
        <f>"913.5/91/3/MASAOKA"</f>
        <v>913.5/91/3/MASAOKA</v>
      </c>
      <c r="B1757" s="3" t="str">
        <f>"3編"</f>
        <v>3編</v>
      </c>
      <c r="C1757" s="3" t="str">
        <f>"絵本甲越軍記 / 歌川貞秀訳・画 ; 3篇, 3編.-- [出版者不明]; [出版年不明]."</f>
        <v>絵本甲越軍記 / 歌川貞秀訳・画 ; 3篇, 3編.-- [出版者不明]; [出版年不明].</v>
      </c>
    </row>
    <row r="1758" spans="1:3" ht="11.25">
      <c r="A1758" s="3" t="str">
        <f>"913.5/91/4/MASAOKA"</f>
        <v>913.5/91/4/MASAOKA</v>
      </c>
      <c r="B1758" s="3" t="str">
        <f>"4篇"</f>
        <v>4篇</v>
      </c>
      <c r="C1758" s="3" t="str">
        <f>"絵本甲越軍記 / [速水春暁斎作] 玉蘭斎(歌川)貞秀輯・画 ; 初,2,4篇 - 4篇.-- 藤岡屋慶治郎; [出版年不明]."</f>
        <v>絵本甲越軍記 / [速水春暁斎作] 玉蘭斎(歌川)貞秀輯・画 ; 初,2,4篇 - 4篇.-- 藤岡屋慶治郎; [出版年不明].</v>
      </c>
    </row>
    <row r="1759" spans="1:3" ht="11.25">
      <c r="A1759" s="3" t="str">
        <f>"913.5/92//MASAOKA"</f>
        <v>913.5/92//MASAOKA</v>
      </c>
      <c r="B1759" s="3">
        <f>""</f>
      </c>
      <c r="C1759" s="3" t="str">
        <f>"三馬作稗史年代記 / 式亭三馬作 鳴雪写.-- [製作者不明]; 明治24(1891)年4月."</f>
        <v>三馬作稗史年代記 / 式亭三馬作 鳴雪写.-- [製作者不明]; 明治24(1891)年4月.</v>
      </c>
    </row>
    <row r="1760" spans="1:3" ht="11.25">
      <c r="A1760" s="3" t="str">
        <f>"913.5/93/3/MASAOKA"</f>
        <v>913.5/93/3/MASAOKA</v>
      </c>
      <c r="B1760" s="3" t="str">
        <f>"3"</f>
        <v>3</v>
      </c>
      <c r="C1760" s="3" t="str">
        <f>"八宗起源釈迦実録 / 鈴亭谷峩著 ; 3.-- [出版地不明]; [安政1(1854)年刊]."</f>
        <v>八宗起源釈迦実録 / 鈴亭谷峩著 ; 3.-- [出版地不明]; [安政1(1854)年刊].</v>
      </c>
    </row>
    <row r="1761" spans="1:3" ht="11.25">
      <c r="A1761" s="3" t="str">
        <f>"913.5/94//MASAOKA"</f>
        <v>913.5/94//MASAOKA</v>
      </c>
      <c r="B1761" s="3">
        <f>""</f>
      </c>
      <c r="C1761" s="3" t="str">
        <f>"[玉藻談] / [石田玉山(一世)著・画].-- 河内屋徳兵衛; [出版年不明]."</f>
        <v>[玉藻談] / [石田玉山(一世)著・画].-- 河内屋徳兵衛; [出版年不明].</v>
      </c>
    </row>
    <row r="1762" spans="1:3" ht="11.25">
      <c r="A1762" s="3" t="str">
        <f>"913.5/95//MASAOKA"</f>
        <v>913.5/95//MASAOKA</v>
      </c>
      <c r="B1762" s="3">
        <f>""</f>
      </c>
      <c r="C1762" s="3" t="str">
        <f>"黄金威徳[ほか20編] / [著者不明].-- [出版者不明]; [出版年不明]."</f>
        <v>黄金威徳[ほか20編] / [著者不明].-- [出版者不明]; [出版年不明].</v>
      </c>
    </row>
    <row r="1763" spans="1:3" ht="11.25">
      <c r="A1763" s="3" t="str">
        <f>"913.5/96//MASAOKA"</f>
        <v>913.5/96//MASAOKA</v>
      </c>
      <c r="B1763" s="3" t="str">
        <f>"下"</f>
        <v>下</v>
      </c>
      <c r="C1763" s="3" t="str">
        <f>"かるくち年玉扇子 / [著者不明] ; 下.-- いとや源助板; [宝暦7(1757)年刊]."</f>
        <v>かるくち年玉扇子 / [著者不明] ; 下.-- いとや源助板; [宝暦7(1757)年刊].</v>
      </c>
    </row>
    <row r="1764" spans="1:3" ht="11.25">
      <c r="A1764" s="3" t="str">
        <f>"913.5/97//MASAOKA"</f>
        <v>913.5/97//MASAOKA</v>
      </c>
      <c r="B1764" s="3">
        <f>""</f>
      </c>
      <c r="C1764" s="3" t="str">
        <f>"[三国志] / [著者不明].-- [出版者不明]; [出版年不明]."</f>
        <v>[三国志] / [著者不明].-- [出版者不明]; [出版年不明].</v>
      </c>
    </row>
    <row r="1765" spans="1:3" ht="11.25">
      <c r="A1765" s="3" t="str">
        <f>"913.5/98//MASAOKA"</f>
        <v>913.5/98//MASAOKA</v>
      </c>
      <c r="B1765" s="3">
        <f>""</f>
      </c>
      <c r="C1765" s="3" t="str">
        <f>"保元平治物語 / [著者不明] ; 全.-- 丁子屋平兵衛; 安永10(1781)年1月刊."</f>
        <v>保元平治物語 / [著者不明] ; 全.-- 丁子屋平兵衛; 安永10(1781)年1月刊.</v>
      </c>
    </row>
    <row r="1766" spans="1:3" ht="11.25">
      <c r="A1766" s="3" t="str">
        <f>"913.7/1//MASAOKA"</f>
        <v>913.7/1//MASAOKA</v>
      </c>
      <c r="B1766" s="3">
        <f>""</f>
      </c>
      <c r="C1766" s="3" t="str">
        <f>"三遊亭円朝子の伝 / 朗月散史編.-- 鈴木金輔; 明治24(1891)年9月."</f>
        <v>三遊亭円朝子の伝 / 朗月散史編.-- 鈴木金輔; 明治24(1891)年9月.</v>
      </c>
    </row>
    <row r="1767" spans="1:3" ht="11.25">
      <c r="A1767" s="3" t="str">
        <f>"913.7/2//MASAOKA"</f>
        <v>913.7/2//MASAOKA</v>
      </c>
      <c r="B1767" s="3" t="str">
        <f>"第2編"</f>
        <v>第2編</v>
      </c>
      <c r="C1767" s="3" t="str">
        <f>"業平文治漂流奇談 / 三遊亭円朝[演述] 若林?蔵[筆記] ; 第2編.-- 速記法研究会; 明治18(1885)年9月."</f>
        <v>業平文治漂流奇談 / 三遊亭円朝[演述] 若林?蔵[筆記] ; 第2編.-- 速記法研究会; 明治18(1885)年9月.</v>
      </c>
    </row>
    <row r="1768" spans="1:3" ht="11.25">
      <c r="A1768" s="3" t="str">
        <f>"914.5/1/1/MASAOKA"</f>
        <v>914.5/1/1/MASAOKA</v>
      </c>
      <c r="B1768" s="3" t="str">
        <f>"上"</f>
        <v>上</v>
      </c>
      <c r="C1768" s="3" t="str">
        <f>"文苑玉露 / [聴雨庵蓮阿編] ; 上・下, 上, 下.-- 松村九兵衛[ほか3軒]; 文化12(1815)年5月刊."</f>
        <v>文苑玉露 / [聴雨庵蓮阿編] ; 上・下, 上, 下.-- 松村九兵衛[ほか3軒]; 文化12(1815)年5月刊.</v>
      </c>
    </row>
    <row r="1769" spans="1:3" ht="11.25">
      <c r="A1769" s="3" t="str">
        <f>"914.5/1/2/MASAOKA"</f>
        <v>914.5/1/2/MASAOKA</v>
      </c>
      <c r="B1769" s="3" t="str">
        <f>"下"</f>
        <v>下</v>
      </c>
      <c r="C1769" s="3" t="str">
        <f>"文苑玉露 / [聴雨庵蓮阿編] ; 上・下, 上, 下.-- 松村九兵衛[ほか3軒]; 文化12(1815)年5月刊."</f>
        <v>文苑玉露 / [聴雨庵蓮阿編] ; 上・下, 上, 下.-- 松村九兵衛[ほか3軒]; 文化12(1815)年5月刊.</v>
      </c>
    </row>
    <row r="1770" spans="1:3" ht="11.25">
      <c r="A1770" s="3" t="str">
        <f>"914.5/2/1/MASAOKA"</f>
        <v>914.5/2/1/MASAOKA</v>
      </c>
      <c r="B1770" s="3" t="str">
        <f>"1巻"</f>
        <v>1巻</v>
      </c>
      <c r="C1770" s="3" t="str">
        <f>"燕石雑志 / 滝沢馬琴 ; 1-6巻 - 6巻.-- 河内屋太助; 文化8(1811)年1月刊."</f>
        <v>燕石雑志 / 滝沢馬琴 ; 1-6巻 - 6巻.-- 河内屋太助; 文化8(1811)年1月刊.</v>
      </c>
    </row>
    <row r="1771" spans="1:3" ht="11.25">
      <c r="A1771" s="3" t="str">
        <f>"914.5/2/2/MASAOKA"</f>
        <v>914.5/2/2/MASAOKA</v>
      </c>
      <c r="B1771" s="3" t="str">
        <f>"2巻"</f>
        <v>2巻</v>
      </c>
      <c r="C1771" s="3" t="str">
        <f>"燕石雑志 / 滝沢馬琴 ; 1-6巻 - 6巻.-- 河内屋太助; 文化8(1811)年1月刊."</f>
        <v>燕石雑志 / 滝沢馬琴 ; 1-6巻 - 6巻.-- 河内屋太助; 文化8(1811)年1月刊.</v>
      </c>
    </row>
    <row r="1772" spans="1:3" ht="11.25">
      <c r="A1772" s="3" t="str">
        <f>"914.5/2/3/MASAOKA"</f>
        <v>914.5/2/3/MASAOKA</v>
      </c>
      <c r="B1772" s="3" t="str">
        <f>"3巻"</f>
        <v>3巻</v>
      </c>
      <c r="C1772" s="3" t="str">
        <f>"燕石雑志 / 滝沢馬琴 ; 1-6巻 - 6巻.-- 河内屋太助; 文化8(1811)年1月刊."</f>
        <v>燕石雑志 / 滝沢馬琴 ; 1-6巻 - 6巻.-- 河内屋太助; 文化8(1811)年1月刊.</v>
      </c>
    </row>
    <row r="1773" spans="1:3" ht="11.25">
      <c r="A1773" s="3" t="str">
        <f>"914.5/2/4/MASAOKA"</f>
        <v>914.5/2/4/MASAOKA</v>
      </c>
      <c r="B1773" s="3" t="str">
        <f>"4巻"</f>
        <v>4巻</v>
      </c>
      <c r="C1773" s="3" t="str">
        <f>"燕石雑志 / 滝沢馬琴 ; 1-6巻 - 6巻.-- 河内屋太助; 文化8(1811)年1月刊."</f>
        <v>燕石雑志 / 滝沢馬琴 ; 1-6巻 - 6巻.-- 河内屋太助; 文化8(1811)年1月刊.</v>
      </c>
    </row>
    <row r="1774" spans="1:3" ht="11.25">
      <c r="A1774" s="3" t="str">
        <f>"914.5/2/4a/MASAOKA"</f>
        <v>914.5/2/4a/MASAOKA</v>
      </c>
      <c r="B1774" s="3" t="str">
        <f>"4"</f>
        <v>4</v>
      </c>
      <c r="C1774" s="3" t="str">
        <f>"燕石雑志 / 滝沢馬琴 ; 4.-- [出版者不明]; [文化8(1811)年刊]."</f>
        <v>燕石雑志 / 滝沢馬琴 ; 4.-- [出版者不明]; [文化8(1811)年刊].</v>
      </c>
    </row>
    <row r="1775" spans="1:3" ht="11.25">
      <c r="A1775" s="3" t="str">
        <f>"914.5/2/5/MASAOKA"</f>
        <v>914.5/2/5/MASAOKA</v>
      </c>
      <c r="B1775" s="3" t="str">
        <f>"5巻"</f>
        <v>5巻</v>
      </c>
      <c r="C1775" s="3" t="str">
        <f>"燕石雑志 / 滝沢馬琴 ; 1-6巻 - 6巻.-- 河内屋太助; 文化8(1811)年1月刊."</f>
        <v>燕石雑志 / 滝沢馬琴 ; 1-6巻 - 6巻.-- 河内屋太助; 文化8(1811)年1月刊.</v>
      </c>
    </row>
    <row r="1776" spans="1:3" ht="11.25">
      <c r="A1776" s="3" t="str">
        <f>"914.5/2/6/MASAOKA"</f>
        <v>914.5/2/6/MASAOKA</v>
      </c>
      <c r="B1776" s="3" t="str">
        <f>"6巻"</f>
        <v>6巻</v>
      </c>
      <c r="C1776" s="3" t="str">
        <f>"燕石雑志 / 滝沢馬琴 ; 1-6巻 - 6巻.-- 河内屋太助; 文化8(1811)年1月刊."</f>
        <v>燕石雑志 / 滝沢馬琴 ; 1-6巻 - 6巻.-- 河内屋太助; 文化8(1811)年1月刊.</v>
      </c>
    </row>
    <row r="1777" spans="1:3" ht="11.25">
      <c r="A1777" s="3" t="str">
        <f>"914.5/3/1/MASAOKA"</f>
        <v>914.5/3/1/MASAOKA</v>
      </c>
      <c r="B1777" s="3" t="str">
        <f>"1"</f>
        <v>1</v>
      </c>
      <c r="C1777" s="3" t="str">
        <f>"南嶺子 / 多田義俊 ; 1-4 - 4.-- 伊勢屋; 寛延2(1749)年6月序."</f>
        <v>南嶺子 / 多田義俊 ; 1-4 - 4.-- 伊勢屋; 寛延2(1749)年6月序.</v>
      </c>
    </row>
    <row r="1778" spans="1:3" ht="11.25">
      <c r="A1778" s="3" t="str">
        <f>"914.5/3/2/MASAOKA"</f>
        <v>914.5/3/2/MASAOKA</v>
      </c>
      <c r="B1778" s="3" t="str">
        <f>"2"</f>
        <v>2</v>
      </c>
      <c r="C1778" s="3" t="str">
        <f>"南嶺子 / 多田義俊 ; 1-4 - 4.-- 伊勢屋; 寛延2(1749)年6月序."</f>
        <v>南嶺子 / 多田義俊 ; 1-4 - 4.-- 伊勢屋; 寛延2(1749)年6月序.</v>
      </c>
    </row>
    <row r="1779" spans="1:3" ht="11.25">
      <c r="A1779" s="3" t="str">
        <f>"914.5/3/3/MASAOKA"</f>
        <v>914.5/3/3/MASAOKA</v>
      </c>
      <c r="B1779" s="3" t="str">
        <f>"3"</f>
        <v>3</v>
      </c>
      <c r="C1779" s="3" t="str">
        <f>"南嶺子 / 多田義俊 ; 1-4 - 4.-- 伊勢屋; 寛延2(1749)年6月序."</f>
        <v>南嶺子 / 多田義俊 ; 1-4 - 4.-- 伊勢屋; 寛延2(1749)年6月序.</v>
      </c>
    </row>
    <row r="1780" spans="1:3" ht="11.25">
      <c r="A1780" s="3" t="str">
        <f>"914.5/3/4/MASAOKA"</f>
        <v>914.5/3/4/MASAOKA</v>
      </c>
      <c r="B1780" s="3" t="str">
        <f>"4"</f>
        <v>4</v>
      </c>
      <c r="C1780" s="3" t="str">
        <f>"南嶺子 / 多田義俊 ; 1-4 - 4.-- 伊勢屋; 寛延2(1749)年6月序."</f>
        <v>南嶺子 / 多田義俊 ; 1-4 - 4.-- 伊勢屋; 寛延2(1749)年6月序.</v>
      </c>
    </row>
    <row r="1781" spans="1:3" ht="11.25">
      <c r="A1781" s="3" t="str">
        <f>"914.5/4/1/MASAOKA"</f>
        <v>914.5/4/1/MASAOKA</v>
      </c>
      <c r="B1781" s="3" t="str">
        <f>"後1"</f>
        <v>後1</v>
      </c>
      <c r="C1781" s="3" t="str">
        <f>"南嶺遺稿 / 多田義俊 ; 後1-後4 - 後4.-- 伊勢屋; [宝暦7(1757)年序跋]."</f>
        <v>南嶺遺稿 / 多田義俊 ; 後1-後4 - 後4.-- 伊勢屋; [宝暦7(1757)年序跋].</v>
      </c>
    </row>
    <row r="1782" spans="1:3" ht="11.25">
      <c r="A1782" s="3" t="str">
        <f>"914.5/4/2/MASAOKA"</f>
        <v>914.5/4/2/MASAOKA</v>
      </c>
      <c r="B1782" s="3" t="str">
        <f>"後2"</f>
        <v>後2</v>
      </c>
      <c r="C1782" s="3" t="str">
        <f>"南嶺遺稿 / 多田義俊 ; 後1-後4 - 後4.-- 伊勢屋; [宝暦7(1757)年序跋]."</f>
        <v>南嶺遺稿 / 多田義俊 ; 後1-後4 - 後4.-- 伊勢屋; [宝暦7(1757)年序跋].</v>
      </c>
    </row>
    <row r="1783" spans="1:3" ht="11.25">
      <c r="A1783" s="3" t="str">
        <f>"914.5/4/3/MASAOKA"</f>
        <v>914.5/4/3/MASAOKA</v>
      </c>
      <c r="B1783" s="3" t="str">
        <f>"後3"</f>
        <v>後3</v>
      </c>
      <c r="C1783" s="3" t="str">
        <f>"南嶺遺稿 / 多田義俊 ; 後1-後4 - 後4.-- 伊勢屋; [宝暦7(1757)年序跋]."</f>
        <v>南嶺遺稿 / 多田義俊 ; 後1-後4 - 後4.-- 伊勢屋; [宝暦7(1757)年序跋].</v>
      </c>
    </row>
    <row r="1784" spans="1:3" ht="11.25">
      <c r="A1784" s="3" t="str">
        <f>"914.5/4/4/MASAOKA"</f>
        <v>914.5/4/4/MASAOKA</v>
      </c>
      <c r="B1784" s="3" t="str">
        <f>"後4"</f>
        <v>後4</v>
      </c>
      <c r="C1784" s="3" t="str">
        <f>"南嶺遺稿 / 多田義俊 ; 後1-後4 - 後4.-- 伊勢屋; [宝暦7(1757)年序跋]."</f>
        <v>南嶺遺稿 / 多田義俊 ; 後1-後4 - 後4.-- 伊勢屋; [宝暦7(1757)年序跋].</v>
      </c>
    </row>
    <row r="1785" spans="1:3" ht="11.25">
      <c r="A1785" s="3" t="str">
        <f>"914.5/5/1/MASAOKA"</f>
        <v>914.5/5/1/MASAOKA</v>
      </c>
      <c r="B1785" s="3" t="str">
        <f>"上ノ上"</f>
        <v>上ノ上</v>
      </c>
      <c r="C1785" s="3" t="str">
        <f>"骨董集 / 山東京伝 ; 上ノ上,上ノ中,下ノ上,下ノ下 - 下ノ下.-- 文渓堂; 天保7(1836)年4月刊."</f>
        <v>骨董集 / 山東京伝 ; 上ノ上,上ノ中,下ノ上,下ノ下 - 下ノ下.-- 文渓堂; 天保7(1836)年4月刊.</v>
      </c>
    </row>
    <row r="1786" spans="1:3" ht="11.25">
      <c r="A1786" s="3" t="str">
        <f>"914.5/5/2/MASAOKA"</f>
        <v>914.5/5/2/MASAOKA</v>
      </c>
      <c r="B1786" s="3" t="str">
        <f>"上ノ中"</f>
        <v>上ノ中</v>
      </c>
      <c r="C1786" s="3" t="str">
        <f>"骨董集 / 山東京伝 ; 上ノ上,上ノ中,下ノ上,下ノ下 - 下ノ下.-- 文渓堂; 天保7(1836)年4月刊."</f>
        <v>骨董集 / 山東京伝 ; 上ノ上,上ノ中,下ノ上,下ノ下 - 下ノ下.-- 文渓堂; 天保7(1836)年4月刊.</v>
      </c>
    </row>
    <row r="1787" spans="1:3" ht="11.25">
      <c r="A1787" s="3" t="str">
        <f>"914.5/5/3/MASAOKA"</f>
        <v>914.5/5/3/MASAOKA</v>
      </c>
      <c r="B1787" s="3" t="str">
        <f>"下ノ上"</f>
        <v>下ノ上</v>
      </c>
      <c r="C1787" s="3" t="str">
        <f>"骨董集 / 山東京伝 ; 上ノ上,上ノ中,下ノ上,下ノ下 - 下ノ下.-- 文渓堂; 天保7(1836)年4月刊."</f>
        <v>骨董集 / 山東京伝 ; 上ノ上,上ノ中,下ノ上,下ノ下 - 下ノ下.-- 文渓堂; 天保7(1836)年4月刊.</v>
      </c>
    </row>
    <row r="1788" spans="1:3" ht="11.25">
      <c r="A1788" s="3" t="str">
        <f>"914.5/5/4/MASAOKA"</f>
        <v>914.5/5/4/MASAOKA</v>
      </c>
      <c r="B1788" s="3" t="str">
        <f>"下ノ下"</f>
        <v>下ノ下</v>
      </c>
      <c r="C1788" s="3" t="str">
        <f>"骨董集 / 山東京伝 ; 上ノ上,上ノ中,下ノ上,下ノ下 - 下ノ下.-- 文渓堂; 天保7(1836)年4月刊."</f>
        <v>骨董集 / 山東京伝 ; 上ノ上,上ノ中,下ノ上,下ノ下 - 下ノ下.-- 文渓堂; 天保7(1836)年4月刊.</v>
      </c>
    </row>
    <row r="1789" spans="1:3" ht="11.25">
      <c r="A1789" s="3" t="str">
        <f>"914.5/6/1/MASAOKA"</f>
        <v>914.5/6/1/MASAOKA</v>
      </c>
      <c r="B1789" s="3" t="str">
        <f>"上"</f>
        <v>上</v>
      </c>
      <c r="C1789" s="3" t="str">
        <f>"還魂紙料 / 柳亭種彦 ; 上・下, 上, 下.-- 蓮沼善兵衛; 明治15(1882)年7月."</f>
        <v>還魂紙料 / 柳亭種彦 ; 上・下, 上, 下.-- 蓮沼善兵衛; 明治15(1882)年7月.</v>
      </c>
    </row>
    <row r="1790" spans="1:3" ht="11.25">
      <c r="A1790" s="3" t="str">
        <f>"914.5/6/2/MASAOKA"</f>
        <v>914.5/6/2/MASAOKA</v>
      </c>
      <c r="B1790" s="3" t="str">
        <f>"下"</f>
        <v>下</v>
      </c>
      <c r="C1790" s="3" t="str">
        <f>"還魂紙料 / 柳亭種彦 ; 上・下, 上, 下.-- 蓮沼善兵衛; 明治15(1882)年7月."</f>
        <v>還魂紙料 / 柳亭種彦 ; 上・下, 上, 下.-- 蓮沼善兵衛; 明治15(1882)年7月.</v>
      </c>
    </row>
    <row r="1791" spans="1:3" ht="11.25">
      <c r="A1791" s="3" t="str">
        <f>"914.5/7//MASAOKA"</f>
        <v>914.5/7//MASAOKA</v>
      </c>
      <c r="B1791" s="3" t="str">
        <f>"4"</f>
        <v>4</v>
      </c>
      <c r="C1791" s="3" t="str">
        <f>"近世奇跡考 / [山東京伝著] ; 4.-- [出版者不明]; [文化1年(1804)年序]."</f>
        <v>近世奇跡考 / [山東京伝著] ; 4.-- [出版者不明]; [文化1年(1804)年序].</v>
      </c>
    </row>
    <row r="1792" spans="1:3" ht="11.25">
      <c r="A1792" s="3" t="str">
        <f>"914.5/8/1/MASAOKA"</f>
        <v>914.5/8/1/MASAOKA</v>
      </c>
      <c r="B1792" s="3" t="str">
        <f>"前編上"</f>
        <v>前編上</v>
      </c>
      <c r="C1792" s="3" t="str">
        <f>"八十翁昔かたり / [新見正朝著] ; 前編上・下, 前編上, 前編下.-- 下谷紙谷徳八; 天保8-9(1837-1838)年刊."</f>
        <v>八十翁昔かたり / [新見正朝著] ; 前編上・下, 前編上, 前編下.-- 下谷紙谷徳八; 天保8-9(1837-1838)年刊.</v>
      </c>
    </row>
    <row r="1793" spans="1:3" ht="11.25">
      <c r="A1793" s="3" t="str">
        <f>"914.5/8/2/MASAOKA"</f>
        <v>914.5/8/2/MASAOKA</v>
      </c>
      <c r="B1793" s="3" t="str">
        <f>"前編下"</f>
        <v>前編下</v>
      </c>
      <c r="C1793" s="3" t="str">
        <f>"八十翁昔かたり / [新見正朝著] ; 前編上・下, 前編上, 前編下.-- 下谷紙谷徳八; 天保8-9(1837-1838)年刊."</f>
        <v>八十翁昔かたり / [新見正朝著] ; 前編上・下, 前編上, 前編下.-- 下谷紙谷徳八; 天保8-9(1837-1838)年刊.</v>
      </c>
    </row>
    <row r="1794" spans="1:3" ht="11.25">
      <c r="A1794" s="3" t="str">
        <f>"914.5/9/1a/MASAOKA"</f>
        <v>914.5/9/1a/MASAOKA</v>
      </c>
      <c r="B1794" s="3" t="str">
        <f>"第1集下編"</f>
        <v>第1集下編</v>
      </c>
      <c r="C1794" s="3" t="str">
        <f>"曲亭雑記 / 渥美正幹編 ; 第1集下編,第2集上,下編,第3集上編,第4集下編 - 第4集下編.-- 吉川半七; 明治21-23(1888-1890)年."</f>
        <v>曲亭雑記 / 渥美正幹編 ; 第1集下編,第2集上,下編,第3集上編,第4集下編 - 第4集下編.-- 吉川半七; 明治21-23(1888-1890)年.</v>
      </c>
    </row>
    <row r="1795" spans="1:3" ht="11.25">
      <c r="A1795" s="3" t="str">
        <f>"914.5/9/2/MASAOKA"</f>
        <v>914.5/9/2/MASAOKA</v>
      </c>
      <c r="B1795" s="3" t="str">
        <f>"第2集上編"</f>
        <v>第2集上編</v>
      </c>
      <c r="C1795" s="3" t="str">
        <f>"曲亭雑記 / 渥美正幹編 ; 第1集下編,第2集上,下編,第3集上編,第4集下編 - 第4集下編.-- 吉川半七; 明治21-23(1888-1890)年."</f>
        <v>曲亭雑記 / 渥美正幹編 ; 第1集下編,第2集上,下編,第3集上編,第4集下編 - 第4集下編.-- 吉川半七; 明治21-23(1888-1890)年.</v>
      </c>
    </row>
    <row r="1796" spans="1:3" ht="11.25">
      <c r="A1796" s="3" t="str">
        <f>"914.5/9/2a/MASAOKA"</f>
        <v>914.5/9/2a/MASAOKA</v>
      </c>
      <c r="B1796" s="3" t="str">
        <f>"第2集下編"</f>
        <v>第2集下編</v>
      </c>
      <c r="C1796" s="3" t="str">
        <f>"曲亭雑記 / 渥美正幹編 ; 第1集下編,第2集上,下編,第3集上編,第4集下編 - 第4集下編.-- 吉川半七; 明治21-23(1888-1890)年."</f>
        <v>曲亭雑記 / 渥美正幹編 ; 第1集下編,第2集上,下編,第3集上編,第4集下編 - 第4集下編.-- 吉川半七; 明治21-23(1888-1890)年.</v>
      </c>
    </row>
    <row r="1797" spans="1:3" ht="11.25">
      <c r="A1797" s="3" t="str">
        <f>"914.5/9/3/MASAOKA"</f>
        <v>914.5/9/3/MASAOKA</v>
      </c>
      <c r="B1797" s="3" t="str">
        <f>"第3集上編"</f>
        <v>第3集上編</v>
      </c>
      <c r="C1797" s="3" t="str">
        <f>"曲亭雑記 / 渥美正幹編 ; 第1集下編,第2集上,下編,第3集上編,第4集下編 - 第4集下編.-- 吉川半七; 明治21-23(1888-1890)年."</f>
        <v>曲亭雑記 / 渥美正幹編 ; 第1集下編,第2集上,下編,第3集上編,第4集下編 - 第4集下編.-- 吉川半七; 明治21-23(1888-1890)年.</v>
      </c>
    </row>
    <row r="1798" spans="1:3" ht="11.25">
      <c r="A1798" s="3" t="str">
        <f>"914.5/9/4a/MASAOKA"</f>
        <v>914.5/9/4a/MASAOKA</v>
      </c>
      <c r="B1798" s="3" t="str">
        <f>"第4集下編"</f>
        <v>第4集下編</v>
      </c>
      <c r="C1798" s="3" t="str">
        <f>"曲亭雑記 / 渥美正幹編 ; 第1集下編,第2集上,下編,第3集上編,第4集下編 - 第4集下編.-- 吉川半七; 明治21-23(1888-1890)年."</f>
        <v>曲亭雑記 / 渥美正幹編 ; 第1集下編,第2集上,下編,第3集上編,第4集下編 - 第4集下編.-- 吉川半七; 明治21-23(1888-1890)年.</v>
      </c>
    </row>
    <row r="1799" spans="1:3" ht="11.25">
      <c r="A1799" s="3" t="str">
        <f>"914.5/10//MASAOKA"</f>
        <v>914.5/10//MASAOKA</v>
      </c>
      <c r="B1799" s="3">
        <f>""</f>
      </c>
      <c r="C1799" s="3" t="str">
        <f>"夕霧文章額之図 / [著者不明].-- [出版者不明]; [出版年不明]."</f>
        <v>夕霧文章額之図 / [著者不明].-- [出版者不明]; [出版年不明].</v>
      </c>
    </row>
    <row r="1800" spans="1:3" ht="11.25">
      <c r="A1800" s="3" t="str">
        <f>"914.5/11//MASAOKA"</f>
        <v>914.5/11//MASAOKA</v>
      </c>
      <c r="B1800" s="3">
        <f>""</f>
      </c>
      <c r="C1800" s="3" t="str">
        <f>"和文叢書 / 梅原忠蔵編 ; 1編.-- 図書出版会社; 明治23(1890)年12月."</f>
        <v>和文叢書 / 梅原忠蔵編 ; 1編.-- 図書出版会社; 明治23(1890)年12月.</v>
      </c>
    </row>
    <row r="1801" spans="1:3" ht="11.25">
      <c r="A1801" s="3" t="str">
        <f>"914/6/1/MASAOKA"</f>
        <v>914/6/1/MASAOKA</v>
      </c>
      <c r="B1801" s="3" t="str">
        <f>"巻1"</f>
        <v>巻1</v>
      </c>
      <c r="C1801" s="3" t="str">
        <f aca="true" t="shared" si="35" ref="C1801:C1810">"百家説林 / 佐藤定介,畠山健[ほか]編 ; 巻1-10 - 巻10.-- 吉川半七; 明治23-25(1890-92)年11月."</f>
        <v>百家説林 / 佐藤定介,畠山健[ほか]編 ; 巻1-10 - 巻10.-- 吉川半七; 明治23-25(1890-92)年11月.</v>
      </c>
    </row>
    <row r="1802" spans="1:3" ht="11.25">
      <c r="A1802" s="3" t="str">
        <f>"914/6/2/MASAOKA"</f>
        <v>914/6/2/MASAOKA</v>
      </c>
      <c r="B1802" s="3" t="str">
        <f>"巻2"</f>
        <v>巻2</v>
      </c>
      <c r="C1802" s="3" t="str">
        <f t="shared" si="35"/>
        <v>百家説林 / 佐藤定介,畠山健[ほか]編 ; 巻1-10 - 巻10.-- 吉川半七; 明治23-25(1890-92)年11月.</v>
      </c>
    </row>
    <row r="1803" spans="1:3" ht="11.25">
      <c r="A1803" s="3" t="str">
        <f>"914/6/3/MASAOKA"</f>
        <v>914/6/3/MASAOKA</v>
      </c>
      <c r="B1803" s="3" t="str">
        <f>"巻3"</f>
        <v>巻3</v>
      </c>
      <c r="C1803" s="3" t="str">
        <f t="shared" si="35"/>
        <v>百家説林 / 佐藤定介,畠山健[ほか]編 ; 巻1-10 - 巻10.-- 吉川半七; 明治23-25(1890-92)年11月.</v>
      </c>
    </row>
    <row r="1804" spans="1:3" ht="11.25">
      <c r="A1804" s="3" t="str">
        <f>"914/6/4/MASAOKA"</f>
        <v>914/6/4/MASAOKA</v>
      </c>
      <c r="B1804" s="3" t="str">
        <f>"巻4"</f>
        <v>巻4</v>
      </c>
      <c r="C1804" s="3" t="str">
        <f t="shared" si="35"/>
        <v>百家説林 / 佐藤定介,畠山健[ほか]編 ; 巻1-10 - 巻10.-- 吉川半七; 明治23-25(1890-92)年11月.</v>
      </c>
    </row>
    <row r="1805" spans="1:3" ht="11.25">
      <c r="A1805" s="3" t="str">
        <f>"914/6/5/MASAOKA"</f>
        <v>914/6/5/MASAOKA</v>
      </c>
      <c r="B1805" s="3" t="str">
        <f>"巻5"</f>
        <v>巻5</v>
      </c>
      <c r="C1805" s="3" t="str">
        <f t="shared" si="35"/>
        <v>百家説林 / 佐藤定介,畠山健[ほか]編 ; 巻1-10 - 巻10.-- 吉川半七; 明治23-25(1890-92)年11月.</v>
      </c>
    </row>
    <row r="1806" spans="1:3" ht="11.25">
      <c r="A1806" s="3" t="str">
        <f>"914/6/6/MASAOKA"</f>
        <v>914/6/6/MASAOKA</v>
      </c>
      <c r="B1806" s="3" t="str">
        <f>"巻6"</f>
        <v>巻6</v>
      </c>
      <c r="C1806" s="3" t="str">
        <f t="shared" si="35"/>
        <v>百家説林 / 佐藤定介,畠山健[ほか]編 ; 巻1-10 - 巻10.-- 吉川半七; 明治23-25(1890-92)年11月.</v>
      </c>
    </row>
    <row r="1807" spans="1:3" ht="11.25">
      <c r="A1807" s="3" t="str">
        <f>"914/6/7/MASAOKA"</f>
        <v>914/6/7/MASAOKA</v>
      </c>
      <c r="B1807" s="3" t="str">
        <f>"巻7"</f>
        <v>巻7</v>
      </c>
      <c r="C1807" s="3" t="str">
        <f t="shared" si="35"/>
        <v>百家説林 / 佐藤定介,畠山健[ほか]編 ; 巻1-10 - 巻10.-- 吉川半七; 明治23-25(1890-92)年11月.</v>
      </c>
    </row>
    <row r="1808" spans="1:3" ht="11.25">
      <c r="A1808" s="3" t="str">
        <f>"914/6/8/MASAOKA"</f>
        <v>914/6/8/MASAOKA</v>
      </c>
      <c r="B1808" s="3" t="str">
        <f>"巻8"</f>
        <v>巻8</v>
      </c>
      <c r="C1808" s="3" t="str">
        <f t="shared" si="35"/>
        <v>百家説林 / 佐藤定介,畠山健[ほか]編 ; 巻1-10 - 巻10.-- 吉川半七; 明治23-25(1890-92)年11月.</v>
      </c>
    </row>
    <row r="1809" spans="1:3" ht="11.25">
      <c r="A1809" s="3" t="str">
        <f>"914/6/9/MASAOKA"</f>
        <v>914/6/9/MASAOKA</v>
      </c>
      <c r="B1809" s="3" t="str">
        <f>"巻9"</f>
        <v>巻9</v>
      </c>
      <c r="C1809" s="3" t="str">
        <f t="shared" si="35"/>
        <v>百家説林 / 佐藤定介,畠山健[ほか]編 ; 巻1-10 - 巻10.-- 吉川半七; 明治23-25(1890-92)年11月.</v>
      </c>
    </row>
    <row r="1810" spans="1:3" ht="11.25">
      <c r="A1810" s="3" t="str">
        <f>"914/6/10/MASAOKA"</f>
        <v>914/6/10/MASAOKA</v>
      </c>
      <c r="B1810" s="3" t="str">
        <f>"巻10"</f>
        <v>巻10</v>
      </c>
      <c r="C1810" s="3" t="str">
        <f t="shared" si="35"/>
        <v>百家説林 / 佐藤定介,畠山健[ほか]編 ; 巻1-10 - 巻10.-- 吉川半七; 明治23-25(1890-92)年11月.</v>
      </c>
    </row>
    <row r="1811" spans="1:3" ht="11.25">
      <c r="A1811" s="3" t="str">
        <f>"914/7//MASAOKA"</f>
        <v>914/7//MASAOKA</v>
      </c>
      <c r="B1811" s="3">
        <f>""</f>
      </c>
      <c r="C1811" s="3" t="str">
        <f>"校正補註国文全書徒然草文段抄 / 鹿田源蔵編 小田清雄校正補註.-- 国文館; 明治24(1891)年3月."</f>
        <v>校正補註国文全書徒然草文段抄 / 鹿田源蔵編 小田清雄校正補註.-- 国文館; 明治24(1891)年3月.</v>
      </c>
    </row>
    <row r="1812" spans="1:3" ht="11.25">
      <c r="A1812" s="3" t="str">
        <f>"914/8//MASAOKA"</f>
        <v>914/8//MASAOKA</v>
      </c>
      <c r="B1812" s="3">
        <f>""</f>
      </c>
      <c r="C1812" s="3" t="str">
        <f>"国文規範蜻蛉文集 / 向井謙造編 ; 全.-- 小林書房; 明治25(1892)年6月."</f>
        <v>国文規範蜻蛉文集 / 向井謙造編 ; 全.-- 小林書房; 明治25(1892)年6月.</v>
      </c>
    </row>
    <row r="1813" spans="1:3" ht="11.25">
      <c r="A1813" s="3" t="str">
        <f>"914/9//MASAOKA"</f>
        <v>914/9//MASAOKA</v>
      </c>
      <c r="B1813" s="3" t="str">
        <f>"上・中・下"</f>
        <v>上・中・下</v>
      </c>
      <c r="C1813" s="3" t="str">
        <f>"絵本徒然草 / 西川祐信画 ; 上・中・下.-- 菊屋喜兵衛; 元文5(1740)年刊."</f>
        <v>絵本徒然草 / 西川祐信画 ; 上・中・下.-- 菊屋喜兵衛; 元文5(1740)年刊.</v>
      </c>
    </row>
    <row r="1814" spans="1:3" ht="11.25">
      <c r="A1814" s="3" t="str">
        <f>"919/1//MASAOKA"</f>
        <v>919/1//MASAOKA</v>
      </c>
      <c r="B1814" s="3">
        <f>""</f>
      </c>
      <c r="C1814" s="3" t="str">
        <f>"昔昔春秋 / 中井履軒著 ; 全.-- 青藜閣,名山閣; [明和6(1769)年成立]."</f>
        <v>昔昔春秋 / 中井履軒著 ; 全.-- 青藜閣,名山閣; [明和6(1769)年成立].</v>
      </c>
    </row>
    <row r="1815" spans="1:3" ht="11.25">
      <c r="A1815" s="3" t="str">
        <f>"919/2//MASAOKA"</f>
        <v>919/2//MASAOKA</v>
      </c>
      <c r="B1815" s="3">
        <f>""</f>
      </c>
      <c r="C1815" s="3" t="str">
        <f>"鬢絲懺話 / 籾山逸也.-- 大倉書店; 明治23(1890)年9月."</f>
        <v>鬢絲懺話 / 籾山逸也.-- 大倉書店; 明治23(1890)年9月.</v>
      </c>
    </row>
    <row r="1816" spans="1:3" ht="11.25">
      <c r="A1816" s="3" t="str">
        <f>"919/3/1/MASAOKA"</f>
        <v>919/3/1/MASAOKA</v>
      </c>
      <c r="B1816" s="3" t="str">
        <f>"巻之1"</f>
        <v>巻之1</v>
      </c>
      <c r="C1816" s="3" t="str">
        <f>"今古八大家文鈔 / 内田孝太郎編纂 ; 巻之1-3 - 巻之3.-- 甘泉堂(和泉屋市兵衛); 明治10(1877)年3月."</f>
        <v>今古八大家文鈔 / 内田孝太郎編纂 ; 巻之1-3 - 巻之3.-- 甘泉堂(和泉屋市兵衛); 明治10(1877)年3月.</v>
      </c>
    </row>
    <row r="1817" spans="1:3" ht="11.25">
      <c r="A1817" s="3" t="str">
        <f>"919/3/2/MASAOKA"</f>
        <v>919/3/2/MASAOKA</v>
      </c>
      <c r="B1817" s="3" t="str">
        <f>"巻之2"</f>
        <v>巻之2</v>
      </c>
      <c r="C1817" s="3" t="str">
        <f>"今古八大家文鈔 / 内田孝太郎編纂 ; 巻之1-3 - 巻之3.-- 甘泉堂(和泉屋市兵衛); 明治10(1877)年3月."</f>
        <v>今古八大家文鈔 / 内田孝太郎編纂 ; 巻之1-3 - 巻之3.-- 甘泉堂(和泉屋市兵衛); 明治10(1877)年3月.</v>
      </c>
    </row>
    <row r="1818" spans="1:3" ht="11.25">
      <c r="A1818" s="3" t="str">
        <f>"919/3/3/MASAOKA"</f>
        <v>919/3/3/MASAOKA</v>
      </c>
      <c r="B1818" s="3" t="str">
        <f>"巻之3"</f>
        <v>巻之3</v>
      </c>
      <c r="C1818" s="3" t="str">
        <f>"今古八大家文鈔 / 内田孝太郎編纂 ; 巻之1-3 - 巻之3.-- 甘泉堂(和泉屋市兵衛); 明治10(1877)年3月."</f>
        <v>今古八大家文鈔 / 内田孝太郎編纂 ; 巻之1-3 - 巻之3.-- 甘泉堂(和泉屋市兵衛); 明治10(1877)年3月.</v>
      </c>
    </row>
    <row r="1819" spans="1:3" ht="11.25">
      <c r="A1819" s="3" t="str">
        <f>"919/4//MASAOKA"</f>
        <v>919/4//MASAOKA</v>
      </c>
      <c r="B1819" s="3">
        <f>""</f>
      </c>
      <c r="C1819" s="3" t="str">
        <f>"眉橋竹枝 / 李山情僊.-- 修文館; 明治28(1895)年12月刊."</f>
        <v>眉橋竹枝 / 李山情僊.-- 修文館; 明治28(1895)年12月刊.</v>
      </c>
    </row>
    <row r="1820" spans="1:3" ht="11.25">
      <c r="A1820" s="3" t="str">
        <f>"919/5//MASAOKA"</f>
        <v>919/5//MASAOKA</v>
      </c>
      <c r="B1820" s="3" t="str">
        <f>"2・19・59・61・65集"</f>
        <v>2・19・59・61・65集</v>
      </c>
      <c r="C1820" s="3" t="str">
        <f>"新文詩 / 森春涛編 ; 2・19・59・61・65集.-- 森春涛; 明治8-13(1875-1880)年."</f>
        <v>新文詩 / 森春涛編 ; 2・19・59・61・65集.-- 森春涛; 明治8-13(1875-1880)年.</v>
      </c>
    </row>
    <row r="1821" spans="1:3" ht="11.25">
      <c r="A1821" s="3" t="str">
        <f>"919/6//MASAOKA"</f>
        <v>919/6//MASAOKA</v>
      </c>
      <c r="B1821" s="3" t="str">
        <f>"別集"</f>
        <v>別集</v>
      </c>
      <c r="C1821" s="3" t="str">
        <f>"新文詩 / 森春涛編 ; 別集.-- 森春涛; 明治10(1877)年4月."</f>
        <v>新文詩 / 森春涛編 ; 別集.-- 森春涛; 明治10(1877)年4月.</v>
      </c>
    </row>
    <row r="1822" spans="1:3" ht="11.25">
      <c r="A1822" s="3" t="str">
        <f>"919/7//MASAOKA"</f>
        <v>919/7//MASAOKA</v>
      </c>
      <c r="B1822" s="3" t="str">
        <f>"上・下"</f>
        <v>上・下</v>
      </c>
      <c r="C1822" s="3" t="str">
        <f>"戊戌遊草 / 本田幸之助 ; 上・下.-- 本田幸之助; 明治32(1899)年9月."</f>
        <v>戊戌遊草 / 本田幸之助 ; 上・下.-- 本田幸之助; 明治32(1899)年9月.</v>
      </c>
    </row>
    <row r="1823" spans="1:3" ht="11.25">
      <c r="A1823" s="3" t="str">
        <f>"919/8/1/MASAOKA"</f>
        <v>919/8/1/MASAOKA</v>
      </c>
      <c r="B1823" s="3" t="str">
        <f>"詩1"</f>
        <v>詩1</v>
      </c>
      <c r="C1823" s="3" t="str">
        <f>"山陽遺稿 / 頼山陽 ; 詩1-2, 詩1, 詩2.-- 西田森三; 明治13(1880)年."</f>
        <v>山陽遺稿 / 頼山陽 ; 詩1-2, 詩1, 詩2.-- 西田森三; 明治13(1880)年.</v>
      </c>
    </row>
    <row r="1824" spans="1:3" ht="11.25">
      <c r="A1824" s="3" t="str">
        <f>"919/8/2/MASAOKA"</f>
        <v>919/8/2/MASAOKA</v>
      </c>
      <c r="B1824" s="3" t="str">
        <f>"詩2"</f>
        <v>詩2</v>
      </c>
      <c r="C1824" s="3" t="str">
        <f>"山陽遺稿 / 頼山陽 ; 詩1-2, 詩1, 詩2.-- 西田森三; 明治13(1880)年."</f>
        <v>山陽遺稿 / 頼山陽 ; 詩1-2, 詩1, 詩2.-- 西田森三; 明治13(1880)年.</v>
      </c>
    </row>
    <row r="1825" spans="1:3" ht="11.25">
      <c r="A1825" s="3" t="str">
        <f>"919/9/1/MASAOKA"</f>
        <v>919/9/1/MASAOKA</v>
      </c>
      <c r="B1825" s="3" t="str">
        <f>"巻1・2"</f>
        <v>巻1・2</v>
      </c>
      <c r="C1825" s="3" t="str">
        <f>"反刻山陽詩鈔 / 頼久太郎 ; 巻1・2,7・8, 巻1・2, 巻7・8.-- 平野藤七[ほか1軒]; 明治12(1879)年."</f>
        <v>反刻山陽詩鈔 / 頼久太郎 ; 巻1・2,7・8, 巻1・2, 巻7・8.-- 平野藤七[ほか1軒]; 明治12(1879)年.</v>
      </c>
    </row>
    <row r="1826" spans="1:3" ht="11.25">
      <c r="A1826" s="3" t="str">
        <f>"919/9/4/MASAOKA"</f>
        <v>919/9/4/MASAOKA</v>
      </c>
      <c r="B1826" s="3" t="str">
        <f>"巻7・8"</f>
        <v>巻7・8</v>
      </c>
      <c r="C1826" s="3" t="str">
        <f>"反刻山陽詩鈔 / 頼久太郎 ; 巻1・2,7・8, 巻1・2, 巻7・8.-- 平野藤七[ほか1軒]; 明治12(1879)年."</f>
        <v>反刻山陽詩鈔 / 頼久太郎 ; 巻1・2,7・8, 巻1・2, 巻7・8.-- 平野藤七[ほか1軒]; 明治12(1879)年.</v>
      </c>
    </row>
    <row r="1827" spans="1:3" ht="14.25" customHeight="1">
      <c r="A1827" s="3" t="str">
        <f>"919/10//MASAOKA"</f>
        <v>919/10//MASAOKA</v>
      </c>
      <c r="B1827" s="3">
        <f>""</f>
      </c>
      <c r="C1827" s="3" t="str">
        <f>"二大家風雅 / 畠中正盈,大田覃.-- 銭屋惣四郎; 寛政2(1790)年7月刊."</f>
        <v>二大家風雅 / 畠中正盈,大田覃.-- 銭屋惣四郎; 寛政2(1790)年7月刊.</v>
      </c>
    </row>
    <row r="1828" spans="1:3" ht="11.25">
      <c r="A1828" s="3" t="str">
        <f>"919/11//MASAOKA"</f>
        <v>919/11//MASAOKA</v>
      </c>
      <c r="B1828" s="3" t="str">
        <f>"全"</f>
        <v>全</v>
      </c>
      <c r="C1828" s="3" t="str">
        <f>"日本名家詩選 / 野口竹次郎編 ; 全.-- 博文館; 明治24(1891)年6月.-- (東洋文芸全書 ; 第14編)."</f>
        <v>日本名家詩選 / 野口竹次郎編 ; 全.-- 博文館; 明治24(1891)年6月.-- (東洋文芸全書 ; 第14編).</v>
      </c>
    </row>
    <row r="1829" spans="1:3" ht="11.25">
      <c r="A1829" s="3" t="str">
        <f>"919/12/1/MASAOKA"</f>
        <v>919/12/1/MASAOKA</v>
      </c>
      <c r="B1829" s="3" t="str">
        <f>"正編"</f>
        <v>正編</v>
      </c>
      <c r="C1829" s="3" t="str">
        <f>"逍遙遺稿 / 中野重太郎 ; 正・外編, 外編, 正編.-- 不破信一郎; 明治28(1895)年11月."</f>
        <v>逍遙遺稿 / 中野重太郎 ; 正・外編, 外編, 正編.-- 不破信一郎; 明治28(1895)年11月.</v>
      </c>
    </row>
    <row r="1830" spans="1:3" ht="11.25">
      <c r="A1830" s="3" t="str">
        <f>"919/12/2/MASAOKA"</f>
        <v>919/12/2/MASAOKA</v>
      </c>
      <c r="B1830" s="3" t="str">
        <f>"外編"</f>
        <v>外編</v>
      </c>
      <c r="C1830" s="3" t="str">
        <f>"逍遙遺稿 / 中野重太郎 ; 正・外編, 外編, 正編.-- 不破信一郎; 明治28(1895)年11月."</f>
        <v>逍遙遺稿 / 中野重太郎 ; 正・外編, 外編, 正編.-- 不破信一郎; 明治28(1895)年11月.</v>
      </c>
    </row>
    <row r="1831" spans="1:3" ht="11.25">
      <c r="A1831" s="3" t="str">
        <f>"919/13//MASAOKA"</f>
        <v>919/13//MASAOKA</v>
      </c>
      <c r="B1831" s="3">
        <f>""</f>
      </c>
      <c r="C1831" s="3" t="str">
        <f>"江頭百詠 / 寺門静軒.-- 克巳塾; 嘉永3(1850)年序."</f>
        <v>江頭百詠 / 寺門静軒.-- 克巳塾; 嘉永3(1850)年序.</v>
      </c>
    </row>
    <row r="1832" spans="1:3" ht="11.25">
      <c r="A1832" s="3" t="str">
        <f>"919/14//MASAOKA"</f>
        <v>919/14//MASAOKA</v>
      </c>
      <c r="B1832" s="3">
        <f>""</f>
      </c>
      <c r="C1832" s="3" t="str">
        <f>"忠敏公御遺稿 / [著者不明].-- [出版者不明]; 明治5(1872)年後序."</f>
        <v>忠敏公御遺稿 / [著者不明].-- [出版者不明]; 明治5(1872)年後序.</v>
      </c>
    </row>
    <row r="1833" spans="1:3" ht="11.25">
      <c r="A1833" s="3" t="str">
        <f>"919/15//MASAOKA"</f>
        <v>919/15//MASAOKA</v>
      </c>
      <c r="B1833" s="3">
        <f>""</f>
      </c>
      <c r="C1833" s="3" t="str">
        <f>"墨水雑詠 / 雲如山人著.-- [出版者不明]; 嘉永3(1850)年8月序."</f>
        <v>墨水雑詠 / 雲如山人著.-- [出版者不明]; 嘉永3(1850)年8月序.</v>
      </c>
    </row>
    <row r="1834" spans="1:3" ht="11.25">
      <c r="A1834" s="3" t="str">
        <f>"919/16//MASAOKA"</f>
        <v>919/16//MASAOKA</v>
      </c>
      <c r="B1834" s="3">
        <f>""</f>
      </c>
      <c r="C1834" s="3" t="str">
        <f>"犯則余稿 / [著者不明].-- [製作者不明]; [製作年不明]."</f>
        <v>犯則余稿 / [著者不明].-- [製作者不明]; [製作年不明].</v>
      </c>
    </row>
    <row r="1835" spans="1:3" ht="11.25">
      <c r="A1835" s="3" t="str">
        <f>"919/17//MASAOKA"</f>
        <v>919/17//MASAOKA</v>
      </c>
      <c r="B1835" s="3" t="str">
        <f>"第1編"</f>
        <v>第1編</v>
      </c>
      <c r="C1835" s="3" t="str">
        <f>"大来社叢書新評 / 佐田白茅編 ; 第1編.-- 佐田白茅; 明治11(1878)年2月."</f>
        <v>大来社叢書新評 / 佐田白茅編 ; 第1編.-- 佐田白茅; 明治11(1878)年2月.</v>
      </c>
    </row>
    <row r="1836" spans="1:3" ht="11.25">
      <c r="A1836" s="3" t="str">
        <f>"919/18//MASAOKA"</f>
        <v>919/18//MASAOKA</v>
      </c>
      <c r="B1836" s="3" t="str">
        <f>"第1編"</f>
        <v>第1編</v>
      </c>
      <c r="C1836" s="3" t="str">
        <f>"隨録詩集 / 正岡子規自筆 ; 第1編.-- [製作者不明]; [製作年不明]."</f>
        <v>隨録詩集 / 正岡子規自筆 ; 第1編.-- [製作者不明]; [製作年不明].</v>
      </c>
    </row>
    <row r="1837" spans="1:3" ht="11.25">
      <c r="A1837" s="3" t="str">
        <f>"919/19//MASAOKA"</f>
        <v>919/19//MASAOKA</v>
      </c>
      <c r="B1837" s="3" t="str">
        <f>"初編"</f>
        <v>初編</v>
      </c>
      <c r="C1837" s="3" t="str">
        <f>"錦渓集 / 中桐絢海編 ; 初編.-- 紅雲亭; 明治22(1889)年11月."</f>
        <v>錦渓集 / 中桐絢海編 ; 初編.-- 紅雲亭; 明治22(1889)年11月.</v>
      </c>
    </row>
    <row r="1838" spans="1:3" ht="11.25">
      <c r="A1838" s="3" t="str">
        <f>"919/20//MASAOKA"</f>
        <v>919/20//MASAOKA</v>
      </c>
      <c r="B1838" s="3">
        <f>""</f>
      </c>
      <c r="C1838" s="3" t="str">
        <f>"節斎翁文稿竹窓夏課 / 節斎翁[著].-- [製作者不明]; [製作年不明]."</f>
        <v>節斎翁文稿竹窓夏課 / 節斎翁[著].-- [製作者不明]; [製作年不明].</v>
      </c>
    </row>
    <row r="1839" spans="1:3" ht="11.25">
      <c r="A1839" s="3" t="str">
        <f>"919/21//MASAOKA"</f>
        <v>919/21//MASAOKA</v>
      </c>
      <c r="B1839" s="3">
        <f>""</f>
      </c>
      <c r="C1839" s="3" t="str">
        <f>"王荊公詩註 . 剱南詩鈔他六書 / 正岡子規自筆.-- [製作者不明]; [製作年不明]."</f>
        <v>王荊公詩註 . 剱南詩鈔他六書 / 正岡子規自筆.-- [製作者不明]; [製作年不明].</v>
      </c>
    </row>
    <row r="1840" spans="1:3" ht="11.25">
      <c r="A1840" s="3" t="str">
        <f>"919/22//MASAOKA"</f>
        <v>919/22//MASAOKA</v>
      </c>
      <c r="B1840" s="3">
        <f>""</f>
      </c>
      <c r="C1840" s="3" t="str">
        <f>"諸家文集 / 広瀬典 [ほか編].-- [製作者不明]; [製作年不明]."</f>
        <v>諸家文集 / 広瀬典 [ほか編].-- [製作者不明]; [製作年不明].</v>
      </c>
    </row>
    <row r="1841" spans="1:3" ht="11.25">
      <c r="A1841" s="3" t="str">
        <f>"919/23//MASAOKA"</f>
        <v>919/23//MASAOKA</v>
      </c>
      <c r="B1841" s="3">
        <f>""</f>
      </c>
      <c r="C1841" s="3" t="str">
        <f>"文抄 / 金壇悟岡史震林[著].-- [製作者不明]; [製作年不明]."</f>
        <v>文抄 / 金壇悟岡史震林[著].-- [製作者不明]; [製作年不明].</v>
      </c>
    </row>
    <row r="1842" spans="1:3" ht="11.25">
      <c r="A1842" s="3" t="str">
        <f>"919/24//MASAOKA"</f>
        <v>919/24//MASAOKA</v>
      </c>
      <c r="B1842" s="3">
        <f>""</f>
      </c>
      <c r="C1842" s="3" t="str">
        <f>"歳晩類集 / 頼山陽[ほか編].-- [製作者不明]; [製作年不明]."</f>
        <v>歳晩類集 / 頼山陽[ほか編].-- [製作者不明]; [製作年不明].</v>
      </c>
    </row>
    <row r="1843" spans="1:3" ht="11.25">
      <c r="A1843" s="3" t="str">
        <f>"919/26/1/MASAOKA"</f>
        <v>919/26/1/MASAOKA</v>
      </c>
      <c r="B1843" s="3" t="str">
        <f>"甲集卷1-2 金"</f>
        <v>甲集卷1-2 金</v>
      </c>
      <c r="C1843" s="3" t="str">
        <f aca="true" t="shared" si="36" ref="C1843:C1850">"星巖集 / [梁川星巌著] ; 甲集卷1-2 金 - 丁集卷5・閏1 木.-- 岡田羣玉堂; 天保12 [1841]."</f>
        <v>星巖集 / [梁川星巌著] ; 甲集卷1-2 金 - 丁集卷5・閏1 木.-- 岡田羣玉堂; 天保12 [1841].</v>
      </c>
    </row>
    <row r="1844" spans="1:3" ht="11.25">
      <c r="A1844" s="3" t="str">
        <f>"919/26/2/MASAOKA"</f>
        <v>919/26/2/MASAOKA</v>
      </c>
      <c r="B1844" s="3" t="str">
        <f>"乙集卷1-2 石"</f>
        <v>乙集卷1-2 石</v>
      </c>
      <c r="C1844" s="3" t="str">
        <f t="shared" si="36"/>
        <v>星巖集 / [梁川星巌著] ; 甲集卷1-2 金 - 丁集卷5・閏1 木.-- 岡田羣玉堂; 天保12 [1841].</v>
      </c>
    </row>
    <row r="1845" spans="1:3" ht="11.25">
      <c r="A1845" s="3" t="str">
        <f>"919/26/3/MASAOKA"</f>
        <v>919/26/3/MASAOKA</v>
      </c>
      <c r="B1845" s="3" t="str">
        <f>"乙集卷3-4 絲"</f>
        <v>乙集卷3-4 絲</v>
      </c>
      <c r="C1845" s="3" t="str">
        <f t="shared" si="36"/>
        <v>星巖集 / [梁川星巌著] ; 甲集卷1-2 金 - 丁集卷5・閏1 木.-- 岡田羣玉堂; 天保12 [1841].</v>
      </c>
    </row>
    <row r="1846" spans="1:3" ht="11.25">
      <c r="A1846" s="3" t="str">
        <f>"919/26/4/MASAOKA"</f>
        <v>919/26/4/MASAOKA</v>
      </c>
      <c r="B1846" s="3" t="str">
        <f>"丙集卷1-3 竹"</f>
        <v>丙集卷1-3 竹</v>
      </c>
      <c r="C1846" s="3" t="str">
        <f t="shared" si="36"/>
        <v>星巖集 / [梁川星巌著] ; 甲集卷1-2 金 - 丁集卷5・閏1 木.-- 岡田羣玉堂; 天保12 [1841].</v>
      </c>
    </row>
    <row r="1847" spans="1:3" ht="11.25">
      <c r="A1847" s="3" t="str">
        <f>"919/26/5/MASAOKA"</f>
        <v>919/26/5/MASAOKA</v>
      </c>
      <c r="B1847" s="3" t="str">
        <f>"丙集卷4-7 匏"</f>
        <v>丙集卷4-7 匏</v>
      </c>
      <c r="C1847" s="3" t="str">
        <f t="shared" si="36"/>
        <v>星巖集 / [梁川星巌著] ; 甲集卷1-2 金 - 丁集卷5・閏1 木.-- 岡田羣玉堂; 天保12 [1841].</v>
      </c>
    </row>
    <row r="1848" spans="1:3" ht="11.25">
      <c r="A1848" s="3" t="str">
        <f>"919/26/6/MASAOKA"</f>
        <v>919/26/6/MASAOKA</v>
      </c>
      <c r="B1848" s="3" t="str">
        <f>"丙集卷8-10 土"</f>
        <v>丙集卷8-10 土</v>
      </c>
      <c r="C1848" s="3" t="str">
        <f t="shared" si="36"/>
        <v>星巖集 / [梁川星巌著] ; 甲集卷1-2 金 - 丁集卷5・閏1 木.-- 岡田羣玉堂; 天保12 [1841].</v>
      </c>
    </row>
    <row r="1849" spans="1:3" ht="11.25">
      <c r="A1849" s="3" t="str">
        <f>"919/26/7/MASAOKA"</f>
        <v>919/26/7/MASAOKA</v>
      </c>
      <c r="B1849" s="3" t="str">
        <f>"丁集卷1-4 革"</f>
        <v>丁集卷1-4 革</v>
      </c>
      <c r="C1849" s="3" t="str">
        <f t="shared" si="36"/>
        <v>星巖集 / [梁川星巌著] ; 甲集卷1-2 金 - 丁集卷5・閏1 木.-- 岡田羣玉堂; 天保12 [1841].</v>
      </c>
    </row>
    <row r="1850" spans="1:3" ht="11.25">
      <c r="A1850" s="3" t="str">
        <f>"919/26/8/MASAOKA"</f>
        <v>919/26/8/MASAOKA</v>
      </c>
      <c r="B1850" s="3" t="str">
        <f>"丁集卷5・閏1 木"</f>
        <v>丁集卷5・閏1 木</v>
      </c>
      <c r="C1850" s="3" t="str">
        <f t="shared" si="36"/>
        <v>星巖集 / [梁川星巌著] ; 甲集卷1-2 金 - 丁集卷5・閏1 木.-- 岡田羣玉堂; 天保12 [1841].</v>
      </c>
    </row>
    <row r="1851" spans="1:3" ht="11.25">
      <c r="A1851" s="3" t="str">
        <f>"919/27/1/MASAOKA"</f>
        <v>919/27/1/MASAOKA</v>
      </c>
      <c r="B1851" s="3" t="str">
        <f>"戊集巻1-4"</f>
        <v>戊集巻1-4</v>
      </c>
      <c r="C1851" s="3" t="str">
        <f>"星巌戊集 / 市島泰交通[ほか7名] ; 戊集巻1-4.-- 群玉堂河内屋岡田茂兵衛; 嘉永6(1853)年序."</f>
        <v>星巌戊集 / 市島泰交通[ほか7名] ; 戊集巻1-4.-- 群玉堂河内屋岡田茂兵衛; 嘉永6(1853)年序.</v>
      </c>
    </row>
    <row r="1852" spans="1:3" ht="11.25">
      <c r="A1852" s="3" t="str">
        <f>"919/27/2/MASAOKA"</f>
        <v>919/27/2/MASAOKA</v>
      </c>
      <c r="B1852" s="3" t="str">
        <f>"1集1-2"</f>
        <v>1集1-2</v>
      </c>
      <c r="C1852" s="3" t="str">
        <f>"玉池吟社詩 / 遠山澹雲如[ほか3名]編輯 ; 1集1-5, 1集1-2, 1集3-5.-- 群玉堂河内屋岡田茂兵衛; 嘉永6(1853)年序."</f>
        <v>玉池吟社詩 / 遠山澹雲如[ほか3名]編輯 ; 1集1-5, 1集1-2, 1集3-5.-- 群玉堂河内屋岡田茂兵衛; 嘉永6(1853)年序.</v>
      </c>
    </row>
    <row r="1853" spans="1:3" ht="11.25">
      <c r="A1853" s="3" t="str">
        <f>"919/27/3/MASAOKA"</f>
        <v>919/27/3/MASAOKA</v>
      </c>
      <c r="B1853" s="3" t="str">
        <f>"1集3-5"</f>
        <v>1集3-5</v>
      </c>
      <c r="C1853" s="3" t="str">
        <f>"玉池吟社詩 / 遠山澹雲如[ほか3名]編輯 ; 1集1-5, 1集1-2, 1集3-5.-- 群玉堂河内屋岡田茂兵衛; 嘉永6(1853)年序."</f>
        <v>玉池吟社詩 / 遠山澹雲如[ほか3名]編輯 ; 1集1-5, 1集1-2, 1集3-5.-- 群玉堂河内屋岡田茂兵衛; 嘉永6(1853)年序.</v>
      </c>
    </row>
    <row r="1854" spans="1:3" ht="11.25">
      <c r="A1854" s="3" t="str">
        <f>"919/28//MASAOKA"</f>
        <v>919/28//MASAOKA</v>
      </c>
      <c r="B1854" s="3" t="str">
        <f>"完"</f>
        <v>完</v>
      </c>
      <c r="C1854" s="3" t="str">
        <f>"紅蘭小集 / 張景婉 ; 完.-- 宝漢閣; 天保12(1841)年1月刊."</f>
        <v>紅蘭小集 / 張景婉 ; 完.-- 宝漢閣; 天保12(1841)年1月刊.</v>
      </c>
    </row>
    <row r="1855" spans="1:3" ht="11.25">
      <c r="A1855" s="3" t="str">
        <f>"919/29//MASAOKA"</f>
        <v>919/29//MASAOKA</v>
      </c>
      <c r="B1855" s="3">
        <f>""</f>
      </c>
      <c r="C1855" s="3" t="str">
        <f>"日本楽府 / 頼山陽.-- 吉田屋治兵衛[ほか2軒]; 文政13(1830)年刊."</f>
        <v>日本楽府 / 頼山陽.-- 吉田屋治兵衛[ほか2軒]; 文政13(1830)年刊.</v>
      </c>
    </row>
    <row r="1856" spans="1:3" ht="11.25">
      <c r="A1856" s="3" t="str">
        <f>"919/30//MASAOKA"</f>
        <v>919/30//MASAOKA</v>
      </c>
      <c r="B1856" s="3">
        <f>""</f>
      </c>
      <c r="C1856" s="3" t="str">
        <f>"僧良寛詩集 / 小林二郎編.-- 精華堂; 明治34(1901)年4月."</f>
        <v>僧良寛詩集 / 小林二郎編.-- 精華堂; 明治34(1901)年4月.</v>
      </c>
    </row>
    <row r="1857" spans="1:3" ht="11.25">
      <c r="A1857" s="3" t="str">
        <f>"919/31//MASAOKA"</f>
        <v>919/31//MASAOKA</v>
      </c>
      <c r="B1857" s="3">
        <f>""</f>
      </c>
      <c r="C1857" s="3" t="str">
        <f>"観山遺稿 / 大原観山[著].-- [製作者不明]; 明治15(1882)年写."</f>
        <v>観山遺稿 / 大原観山[著].-- [製作者不明]; 明治15(1882)年写.</v>
      </c>
    </row>
    <row r="1858" spans="1:3" ht="11.25">
      <c r="A1858" s="3" t="str">
        <f>"919/32//MASAOKA"</f>
        <v>919/32//MASAOKA</v>
      </c>
      <c r="B1858" s="3">
        <f>""</f>
      </c>
      <c r="C1858" s="3" t="str">
        <f>"小説白藤伝 / 玩世教主撰.-- [出版者不明]; [江戸末期]."</f>
        <v>小説白藤伝 / 玩世教主撰.-- [出版者不明]; [江戸末期].</v>
      </c>
    </row>
    <row r="1859" spans="1:3" ht="11.25">
      <c r="A1859" s="3" t="str">
        <f>"919/33/1/MASAOKA"</f>
        <v>919/33/1/MASAOKA</v>
      </c>
      <c r="B1859" s="3" t="str">
        <f>"上"</f>
        <v>上</v>
      </c>
      <c r="C1859" s="3" t="str">
        <f>"日本忠臣庫 / 鴻濛陳人重訳 ; 上・中・下 - 下.-- 小林新造[ほか11軒]; 乾隆59(1794)年序."</f>
        <v>日本忠臣庫 / 鴻濛陳人重訳 ; 上・中・下 - 下.-- 小林新造[ほか11軒]; 乾隆59(1794)年序.</v>
      </c>
    </row>
    <row r="1860" spans="1:3" ht="11.25">
      <c r="A1860" s="3" t="str">
        <f>"919/33/2/MASAOKA"</f>
        <v>919/33/2/MASAOKA</v>
      </c>
      <c r="B1860" s="3" t="str">
        <f>"中"</f>
        <v>中</v>
      </c>
      <c r="C1860" s="3" t="str">
        <f>"日本忠臣庫 / 鴻濛陳人重訳 ; 上・中・下 - 下.-- 小林新造[ほか11軒]; 乾隆59(1794)年序."</f>
        <v>日本忠臣庫 / 鴻濛陳人重訳 ; 上・中・下 - 下.-- 小林新造[ほか11軒]; 乾隆59(1794)年序.</v>
      </c>
    </row>
    <row r="1861" spans="1:3" ht="11.25">
      <c r="A1861" s="3" t="str">
        <f>"919/33/3/MASAOKA"</f>
        <v>919/33/3/MASAOKA</v>
      </c>
      <c r="B1861" s="3" t="str">
        <f>"下"</f>
        <v>下</v>
      </c>
      <c r="C1861" s="3" t="str">
        <f>"日本忠臣庫 / 鴻濛陳人重訳 ; 上・中・下 - 下.-- 小林新造[ほか11軒]; 乾隆59(1794)年序."</f>
        <v>日本忠臣庫 / 鴻濛陳人重訳 ; 上・中・下 - 下.-- 小林新造[ほか11軒]; 乾隆59(1794)年序.</v>
      </c>
    </row>
    <row r="1862" spans="1:3" ht="11.25">
      <c r="A1862" s="3" t="str">
        <f>"919/34/1/MASAOKA"</f>
        <v>919/34/1/MASAOKA</v>
      </c>
      <c r="B1862" s="3">
        <f>""</f>
      </c>
      <c r="C1862" s="3" t="str">
        <f>"蕉鹿窩遺稿 / 大原有恒著 男恒忠編.-- 加藤恒忠; 大正12(1923)年5月."</f>
        <v>蕉鹿窩遺稿 / 大原有恒著 男恒忠編.-- 加藤恒忠; 大正12(1923)年5月.</v>
      </c>
    </row>
    <row r="1863" spans="1:3" ht="11.25">
      <c r="A1863" s="3" t="str">
        <f>"919/34/1a/MASAOKA"</f>
        <v>919/34/1a/MASAOKA</v>
      </c>
      <c r="B1863" s="3">
        <f>""</f>
      </c>
      <c r="C1863" s="3" t="str">
        <f>"蕉鹿窩遺稿 / 大原有恒著 男恒忠編.-- 加藤恒忠; 大正12(1923)年5月."</f>
        <v>蕉鹿窩遺稿 / 大原有恒著 男恒忠編.-- 加藤恒忠; 大正12(1923)年5月.</v>
      </c>
    </row>
    <row r="1864" spans="1:3" ht="11.25">
      <c r="A1864" s="3" t="str">
        <f>"920/1/1/MASAOKA"</f>
        <v>920/1/1/MASAOKA</v>
      </c>
      <c r="B1864" s="3" t="str">
        <f>"1~2巻"</f>
        <v>1~2巻</v>
      </c>
      <c r="C1864" s="3" t="str">
        <f>"唐才子伝 / 辛文房[撰] ; 1-10巻 - 9~10巻.-- 上村二郎衛門; 正保4(1647)年刊."</f>
        <v>唐才子伝 / 辛文房[撰] ; 1-10巻 - 9~10巻.-- 上村二郎衛門; 正保4(1647)年刊.</v>
      </c>
    </row>
    <row r="1865" spans="1:3" ht="11.25">
      <c r="A1865" s="3" t="str">
        <f>"920/1/2/MASAOKA"</f>
        <v>920/1/2/MASAOKA</v>
      </c>
      <c r="B1865" s="3" t="str">
        <f>"3~4巻"</f>
        <v>3~4巻</v>
      </c>
      <c r="C1865" s="3" t="str">
        <f>"唐才子伝 / 辛文房[撰] ; 1-10巻 - 9~10巻.-- 上村二郎衛門; 正保4(1647)年刊."</f>
        <v>唐才子伝 / 辛文房[撰] ; 1-10巻 - 9~10巻.-- 上村二郎衛門; 正保4(1647)年刊.</v>
      </c>
    </row>
    <row r="1866" spans="1:3" ht="11.25">
      <c r="A1866" s="3" t="str">
        <f>"920/1/3/MASAOKA"</f>
        <v>920/1/3/MASAOKA</v>
      </c>
      <c r="B1866" s="3" t="str">
        <f>"5~6巻"</f>
        <v>5~6巻</v>
      </c>
      <c r="C1866" s="3" t="str">
        <f>"唐才子伝 / 辛文房[撰] ; 1-10巻 - 9~10巻.-- 上村二郎衛門; 正保4(1647)年刊."</f>
        <v>唐才子伝 / 辛文房[撰] ; 1-10巻 - 9~10巻.-- 上村二郎衛門; 正保4(1647)年刊.</v>
      </c>
    </row>
    <row r="1867" spans="1:3" ht="11.25">
      <c r="A1867" s="3" t="str">
        <f>"920/1/4/MASAOKA"</f>
        <v>920/1/4/MASAOKA</v>
      </c>
      <c r="B1867" s="3" t="str">
        <f>"7~8巻"</f>
        <v>7~8巻</v>
      </c>
      <c r="C1867" s="3" t="str">
        <f>"唐才子伝 / 辛文房[撰] ; 1-10巻 - 9~10巻.-- 上村二郎衛門; 正保4(1647)年刊."</f>
        <v>唐才子伝 / 辛文房[撰] ; 1-10巻 - 9~10巻.-- 上村二郎衛門; 正保4(1647)年刊.</v>
      </c>
    </row>
    <row r="1868" spans="1:3" ht="11.25">
      <c r="A1868" s="3" t="str">
        <f>"920/1/5/MASAOKA"</f>
        <v>920/1/5/MASAOKA</v>
      </c>
      <c r="B1868" s="3" t="str">
        <f>"9~10巻"</f>
        <v>9~10巻</v>
      </c>
      <c r="C1868" s="3" t="str">
        <f>"唐才子伝 / 辛文房[撰] ; 1-10巻 - 9~10巻.-- 上村二郎衛門; 正保4(1647)年刊."</f>
        <v>唐才子伝 / 辛文房[撰] ; 1-10巻 - 9~10巻.-- 上村二郎衛門; 正保4(1647)年刊.</v>
      </c>
    </row>
    <row r="1869" spans="1:3" ht="11.25">
      <c r="A1869" s="3" t="str">
        <f>"920/2//MASAOKA"</f>
        <v>920/2//MASAOKA</v>
      </c>
      <c r="B1869" s="3" t="str">
        <f>"完"</f>
        <v>完</v>
      </c>
      <c r="C1869" s="3" t="str">
        <f>"笑府 / 墨?斎編 ?[ドウ]斎訳 ; 完.-- 慶光堂(和泉屋庄次郎); 明和5(1768)年10月序刊."</f>
        <v>笑府 / 墨?斎編 ?[ドウ]斎訳 ; 完.-- 慶光堂(和泉屋庄次郎); 明和5(1768)年10月序刊.</v>
      </c>
    </row>
    <row r="1870" spans="1:3" ht="11.25">
      <c r="A1870" s="3" t="str">
        <f>"920/3/2/MASAOKA"</f>
        <v>920/3/2/MASAOKA</v>
      </c>
      <c r="B1870" s="3" t="str">
        <f>"巻2-3"</f>
        <v>巻2-3</v>
      </c>
      <c r="C1870" s="3" t="str">
        <f aca="true" t="shared" si="37" ref="C1870:C1884">"唐宗八大家文読本 : 増評 / 沈徳潜撰 頼山陽増評 ; 巻2-30 - 巻29-30.-- 内藤伝右衛門; 明治12(1879)年5月再板."</f>
        <v>唐宗八大家文読本 : 増評 / 沈徳潜撰 頼山陽増評 ; 巻2-30 - 巻29-30.-- 内藤伝右衛門; 明治12(1879)年5月再板.</v>
      </c>
    </row>
    <row r="1871" spans="1:3" ht="11.25">
      <c r="A1871" s="3" t="str">
        <f>"920/3/3/MASAOKA"</f>
        <v>920/3/3/MASAOKA</v>
      </c>
      <c r="B1871" s="3" t="str">
        <f>"巻4-5"</f>
        <v>巻4-5</v>
      </c>
      <c r="C1871" s="3" t="str">
        <f t="shared" si="37"/>
        <v>唐宗八大家文読本 : 増評 / 沈徳潜撰 頼山陽増評 ; 巻2-30 - 巻29-30.-- 内藤伝右衛門; 明治12(1879)年5月再板.</v>
      </c>
    </row>
    <row r="1872" spans="1:3" ht="11.25">
      <c r="A1872" s="3" t="str">
        <f>"920/3/4/MASAOKA"</f>
        <v>920/3/4/MASAOKA</v>
      </c>
      <c r="B1872" s="3" t="str">
        <f>"巻6"</f>
        <v>巻6</v>
      </c>
      <c r="C1872" s="3" t="str">
        <f t="shared" si="37"/>
        <v>唐宗八大家文読本 : 増評 / 沈徳潜撰 頼山陽増評 ; 巻2-30 - 巻29-30.-- 内藤伝右衛門; 明治12(1879)年5月再板.</v>
      </c>
    </row>
    <row r="1873" spans="1:3" ht="11.25">
      <c r="A1873" s="3" t="str">
        <f>"920/3/5/MASAOKA"</f>
        <v>920/3/5/MASAOKA</v>
      </c>
      <c r="B1873" s="3" t="str">
        <f>"巻7-8"</f>
        <v>巻7-8</v>
      </c>
      <c r="C1873" s="3" t="str">
        <f t="shared" si="37"/>
        <v>唐宗八大家文読本 : 増評 / 沈徳潜撰 頼山陽増評 ; 巻2-30 - 巻29-30.-- 内藤伝右衛門; 明治12(1879)年5月再板.</v>
      </c>
    </row>
    <row r="1874" spans="1:3" ht="11.25">
      <c r="A1874" s="3" t="str">
        <f>"920/3/6/MASAOKA"</f>
        <v>920/3/6/MASAOKA</v>
      </c>
      <c r="B1874" s="3" t="str">
        <f>"巻9-10"</f>
        <v>巻9-10</v>
      </c>
      <c r="C1874" s="3" t="str">
        <f t="shared" si="37"/>
        <v>唐宗八大家文読本 : 増評 / 沈徳潜撰 頼山陽増評 ; 巻2-30 - 巻29-30.-- 内藤伝右衛門; 明治12(1879)年5月再板.</v>
      </c>
    </row>
    <row r="1875" spans="1:3" ht="11.25">
      <c r="A1875" s="3" t="str">
        <f>"920/3/7/MASAOKA"</f>
        <v>920/3/7/MASAOKA</v>
      </c>
      <c r="B1875" s="3" t="str">
        <f>"巻11-12"</f>
        <v>巻11-12</v>
      </c>
      <c r="C1875" s="3" t="str">
        <f t="shared" si="37"/>
        <v>唐宗八大家文読本 : 増評 / 沈徳潜撰 頼山陽増評 ; 巻2-30 - 巻29-30.-- 内藤伝右衛門; 明治12(1879)年5月再板.</v>
      </c>
    </row>
    <row r="1876" spans="1:3" ht="11.25">
      <c r="A1876" s="3" t="str">
        <f>"920/3/8/MASAOKA"</f>
        <v>920/3/8/MASAOKA</v>
      </c>
      <c r="B1876" s="3" t="str">
        <f>"巻13-14"</f>
        <v>巻13-14</v>
      </c>
      <c r="C1876" s="3" t="str">
        <f t="shared" si="37"/>
        <v>唐宗八大家文読本 : 増評 / 沈徳潜撰 頼山陽増評 ; 巻2-30 - 巻29-30.-- 内藤伝右衛門; 明治12(1879)年5月再板.</v>
      </c>
    </row>
    <row r="1877" spans="1:3" ht="11.25">
      <c r="A1877" s="3" t="str">
        <f>"920/3/9/MASAOKA"</f>
        <v>920/3/9/MASAOKA</v>
      </c>
      <c r="B1877" s="3" t="str">
        <f>"巻15-16"</f>
        <v>巻15-16</v>
      </c>
      <c r="C1877" s="3" t="str">
        <f t="shared" si="37"/>
        <v>唐宗八大家文読本 : 増評 / 沈徳潜撰 頼山陽増評 ; 巻2-30 - 巻29-30.-- 内藤伝右衛門; 明治12(1879)年5月再板.</v>
      </c>
    </row>
    <row r="1878" spans="1:3" ht="11.25">
      <c r="A1878" s="3" t="str">
        <f>"920/3/10/MASAOKA"</f>
        <v>920/3/10/MASAOKA</v>
      </c>
      <c r="B1878" s="3" t="str">
        <f>"巻17-18"</f>
        <v>巻17-18</v>
      </c>
      <c r="C1878" s="3" t="str">
        <f t="shared" si="37"/>
        <v>唐宗八大家文読本 : 増評 / 沈徳潜撰 頼山陽増評 ; 巻2-30 - 巻29-30.-- 内藤伝右衛門; 明治12(1879)年5月再板.</v>
      </c>
    </row>
    <row r="1879" spans="1:3" ht="11.25">
      <c r="A1879" s="3" t="str">
        <f>"920/3/11/MASAOKA"</f>
        <v>920/3/11/MASAOKA</v>
      </c>
      <c r="B1879" s="3" t="str">
        <f>"巻19-20"</f>
        <v>巻19-20</v>
      </c>
      <c r="C1879" s="3" t="str">
        <f t="shared" si="37"/>
        <v>唐宗八大家文読本 : 増評 / 沈徳潜撰 頼山陽増評 ; 巻2-30 - 巻29-30.-- 内藤伝右衛門; 明治12(1879)年5月再板.</v>
      </c>
    </row>
    <row r="1880" spans="1:3" ht="11.25">
      <c r="A1880" s="3" t="str">
        <f>"920/3/12/MASAOKA"</f>
        <v>920/3/12/MASAOKA</v>
      </c>
      <c r="B1880" s="3" t="str">
        <f>"巻21-22"</f>
        <v>巻21-22</v>
      </c>
      <c r="C1880" s="3" t="str">
        <f t="shared" si="37"/>
        <v>唐宗八大家文読本 : 増評 / 沈徳潜撰 頼山陽増評 ; 巻2-30 - 巻29-30.-- 内藤伝右衛門; 明治12(1879)年5月再板.</v>
      </c>
    </row>
    <row r="1881" spans="1:3" ht="11.25">
      <c r="A1881" s="3" t="str">
        <f>"920/3/13/MASAOKA"</f>
        <v>920/3/13/MASAOKA</v>
      </c>
      <c r="B1881" s="3" t="str">
        <f>"巻23-24"</f>
        <v>巻23-24</v>
      </c>
      <c r="C1881" s="3" t="str">
        <f t="shared" si="37"/>
        <v>唐宗八大家文読本 : 増評 / 沈徳潜撰 頼山陽増評 ; 巻2-30 - 巻29-30.-- 内藤伝右衛門; 明治12(1879)年5月再板.</v>
      </c>
    </row>
    <row r="1882" spans="1:3" ht="11.25">
      <c r="A1882" s="3" t="str">
        <f>"920/3/14/MASAOKA"</f>
        <v>920/3/14/MASAOKA</v>
      </c>
      <c r="B1882" s="3" t="str">
        <f>"巻25-26"</f>
        <v>巻25-26</v>
      </c>
      <c r="C1882" s="3" t="str">
        <f t="shared" si="37"/>
        <v>唐宗八大家文読本 : 増評 / 沈徳潜撰 頼山陽増評 ; 巻2-30 - 巻29-30.-- 内藤伝右衛門; 明治12(1879)年5月再板.</v>
      </c>
    </row>
    <row r="1883" spans="1:3" ht="11.25">
      <c r="A1883" s="3" t="str">
        <f>"920/3/15/MASAOKA"</f>
        <v>920/3/15/MASAOKA</v>
      </c>
      <c r="B1883" s="3" t="str">
        <f>"巻27-28"</f>
        <v>巻27-28</v>
      </c>
      <c r="C1883" s="3" t="str">
        <f t="shared" si="37"/>
        <v>唐宗八大家文読本 : 増評 / 沈徳潜撰 頼山陽増評 ; 巻2-30 - 巻29-30.-- 内藤伝右衛門; 明治12(1879)年5月再板.</v>
      </c>
    </row>
    <row r="1884" spans="1:3" ht="11.25">
      <c r="A1884" s="3" t="str">
        <f>"920/3/16/MASAOKA"</f>
        <v>920/3/16/MASAOKA</v>
      </c>
      <c r="B1884" s="3" t="str">
        <f>"巻29-30"</f>
        <v>巻29-30</v>
      </c>
      <c r="C1884" s="3" t="str">
        <f t="shared" si="37"/>
        <v>唐宗八大家文読本 : 増評 / 沈徳潜撰 頼山陽増評 ; 巻2-30 - 巻29-30.-- 内藤伝右衛門; 明治12(1879)年5月再板.</v>
      </c>
    </row>
    <row r="1885" spans="1:3" ht="11.25">
      <c r="A1885" s="3" t="str">
        <f>"920/4/1/MASAOKA"</f>
        <v>920/4/1/MASAOKA</v>
      </c>
      <c r="B1885" s="3" t="str">
        <f>"上"</f>
        <v>上</v>
      </c>
      <c r="C1885" s="3" t="str">
        <f>"魏叔子文鈔 / 魏禧冰著 ; 上・中・下 - 下.-- 見山楼須原屋茂兵衛[ほか4軒]; 弘化3(1846)年刊."</f>
        <v>魏叔子文鈔 / 魏禧冰著 ; 上・中・下 - 下.-- 見山楼須原屋茂兵衛[ほか4軒]; 弘化3(1846)年刊.</v>
      </c>
    </row>
    <row r="1886" spans="1:3" ht="11.25">
      <c r="A1886" s="3" t="str">
        <f>"920/4/2/MASAOKA"</f>
        <v>920/4/2/MASAOKA</v>
      </c>
      <c r="B1886" s="3" t="str">
        <f>"中"</f>
        <v>中</v>
      </c>
      <c r="C1886" s="3" t="str">
        <f>"魏叔子文鈔 / 魏禧冰著 ; 上・中・下 - 下.-- 見山楼須原屋茂兵衛[ほか4軒]; 弘化3(1846)年刊."</f>
        <v>魏叔子文鈔 / 魏禧冰著 ; 上・中・下 - 下.-- 見山楼須原屋茂兵衛[ほか4軒]; 弘化3(1846)年刊.</v>
      </c>
    </row>
    <row r="1887" spans="1:3" ht="11.25">
      <c r="A1887" s="3" t="str">
        <f>"920/4/3/MASAOKA"</f>
        <v>920/4/3/MASAOKA</v>
      </c>
      <c r="B1887" s="3" t="str">
        <f>"下"</f>
        <v>下</v>
      </c>
      <c r="C1887" s="3" t="str">
        <f>"魏叔子文鈔 / 魏禧冰著 ; 上・中・下 - 下.-- 見山楼須原屋茂兵衛[ほか4軒]; 弘化3(1846)年刊."</f>
        <v>魏叔子文鈔 / 魏禧冰著 ; 上・中・下 - 下.-- 見山楼須原屋茂兵衛[ほか4軒]; 弘化3(1846)年刊.</v>
      </c>
    </row>
    <row r="1888" spans="1:3" ht="11.25">
      <c r="A1888" s="3" t="str">
        <f>"920/6//MASAOKA"</f>
        <v>920/6//MASAOKA</v>
      </c>
      <c r="B1888" s="3">
        <f>""</f>
      </c>
      <c r="C1888" s="3" t="str">
        <f>"訳史紀余 / 陸次雲雲士著 ; 巻1-3.-- [出版者不明]; [清代]."</f>
        <v>訳史紀余 / 陸次雲雲士著 ; 巻1-3.-- [出版者不明]; [清代].</v>
      </c>
    </row>
    <row r="1889" spans="1:3" ht="11.25">
      <c r="A1889" s="3" t="str">
        <f>"920/7/1/MASAOKA"</f>
        <v>920/7/1/MASAOKA</v>
      </c>
      <c r="B1889" s="3" t="str">
        <f>"上"</f>
        <v>上</v>
      </c>
      <c r="C1889" s="3" t="str">
        <f>"小倉山房文集 / 袁枚 ; 上・中・下 - 下.-- [製作者不明]; [製作年不明]."</f>
        <v>小倉山房文集 / 袁枚 ; 上・中・下 - 下.-- [製作者不明]; [製作年不明].</v>
      </c>
    </row>
    <row r="1890" spans="1:3" ht="11.25">
      <c r="A1890" s="3" t="str">
        <f>"920/7/2/MASAOKA"</f>
        <v>920/7/2/MASAOKA</v>
      </c>
      <c r="B1890" s="3" t="str">
        <f>"中"</f>
        <v>中</v>
      </c>
      <c r="C1890" s="3" t="str">
        <f>"小倉山房文集 / 袁枚 ; 上・中・下 - 下.-- [製作者不明]; [製作年不明]."</f>
        <v>小倉山房文集 / 袁枚 ; 上・中・下 - 下.-- [製作者不明]; [製作年不明].</v>
      </c>
    </row>
    <row r="1891" spans="1:3" ht="11.25">
      <c r="A1891" s="3" t="str">
        <f>"920/7/3/MASAOKA"</f>
        <v>920/7/3/MASAOKA</v>
      </c>
      <c r="B1891" s="3" t="str">
        <f>"下"</f>
        <v>下</v>
      </c>
      <c r="C1891" s="3" t="str">
        <f>"小倉山房文集 / 袁枚 ; 上・中・下 - 下.-- [製作者不明]; [製作年不明]."</f>
        <v>小倉山房文集 / 袁枚 ; 上・中・下 - 下.-- [製作者不明]; [製作年不明].</v>
      </c>
    </row>
    <row r="1892" spans="1:3" ht="11.25">
      <c r="A1892" s="3" t="str">
        <f>"921/10/1/MASAOKA"</f>
        <v>921/10/1/MASAOKA</v>
      </c>
      <c r="B1892" s="3" t="str">
        <f>"鱗"</f>
        <v>鱗</v>
      </c>
      <c r="C1892" s="3" t="str">
        <f>"蘇東坡詩鈔 / 周之鱗雪蒼,柴升錦川選 ; 鱗・鳳・亀・龍 - 鱗.-- 西村治右衛門[ほか4軒]; 文化3(1820)年10月刊."</f>
        <v>蘇東坡詩鈔 / 周之鱗雪蒼,柴升錦川選 ; 鱗・鳳・亀・龍 - 鱗.-- 西村治右衛門[ほか4軒]; 文化3(1820)年10月刊.</v>
      </c>
    </row>
    <row r="1893" spans="1:3" ht="11.25">
      <c r="A1893" s="3" t="str">
        <f>"921/10/2/MASAOKA"</f>
        <v>921/10/2/MASAOKA</v>
      </c>
      <c r="B1893" s="3" t="str">
        <f>"鳳"</f>
        <v>鳳</v>
      </c>
      <c r="C1893" s="3" t="str">
        <f>"蘇東坡詩鈔 / 周之鱗雪蒼,柴升錦川選 ; 鱗・鳳・亀・龍 - 鱗.-- 西村治右衛門[ほか4軒]; 文化3(1820)年10月刊."</f>
        <v>蘇東坡詩鈔 / 周之鱗雪蒼,柴升錦川選 ; 鱗・鳳・亀・龍 - 鱗.-- 西村治右衛門[ほか4軒]; 文化3(1820)年10月刊.</v>
      </c>
    </row>
    <row r="1894" spans="1:3" ht="11.25">
      <c r="A1894" s="3" t="str">
        <f>"921/10/3/MASAOKA"</f>
        <v>921/10/3/MASAOKA</v>
      </c>
      <c r="B1894" s="3" t="str">
        <f>"亀"</f>
        <v>亀</v>
      </c>
      <c r="C1894" s="3" t="str">
        <f>"蘇東坡詩鈔 / 周之鱗雪蒼,柴升錦川選 ; 鱗・鳳・亀・龍 - 鱗.-- 西村治右衛門[ほか4軒]; 文化3(1820)年10月刊."</f>
        <v>蘇東坡詩鈔 / 周之鱗雪蒼,柴升錦川選 ; 鱗・鳳・亀・龍 - 鱗.-- 西村治右衛門[ほか4軒]; 文化3(1820)年10月刊.</v>
      </c>
    </row>
    <row r="1895" spans="1:3" ht="11.25">
      <c r="A1895" s="3" t="str">
        <f>"921/10/4/MASAOKA"</f>
        <v>921/10/4/MASAOKA</v>
      </c>
      <c r="B1895" s="3" t="str">
        <f>"龍"</f>
        <v>龍</v>
      </c>
      <c r="C1895" s="3" t="str">
        <f>"蘇東坡詩鈔 / 周之鱗雪蒼,柴升錦川選 ; 鱗・鳳・亀・龍 - 鱗.-- 西村治右衛門[ほか4軒]; 文化3(1820)年10月刊."</f>
        <v>蘇東坡詩鈔 / 周之鱗雪蒼,柴升錦川選 ; 鱗・鳳・亀・龍 - 鱗.-- 西村治右衛門[ほか4軒]; 文化3(1820)年10月刊.</v>
      </c>
    </row>
    <row r="1896" spans="1:3" ht="11.25">
      <c r="A1896" s="3" t="str">
        <f>"921/11/1/MASAOKA"</f>
        <v>921/11/1/MASAOKA</v>
      </c>
      <c r="B1896" s="3" t="str">
        <f>"上"</f>
        <v>上</v>
      </c>
      <c r="C1896" s="3" t="str">
        <f>"遺山先生詩鈔 / 元遺山著 垣内保定編 ; 上・下, 上, 下.-- 世寿堂; 天保7(1836)年."</f>
        <v>遺山先生詩鈔 / 元遺山著 垣内保定編 ; 上・下, 上, 下.-- 世寿堂; 天保7(1836)年.</v>
      </c>
    </row>
    <row r="1897" spans="1:3" ht="11.25">
      <c r="A1897" s="3" t="str">
        <f>"921/11/2/MASAOKA"</f>
        <v>921/11/2/MASAOKA</v>
      </c>
      <c r="B1897" s="3" t="str">
        <f>"下"</f>
        <v>下</v>
      </c>
      <c r="C1897" s="3" t="str">
        <f>"遺山先生詩鈔 / 元遺山著 垣内保定編 ; 上・下, 上, 下.-- 世寿堂; 天保7(1836)年."</f>
        <v>遺山先生詩鈔 / 元遺山著 垣内保定編 ; 上・下, 上, 下.-- 世寿堂; 天保7(1836)年.</v>
      </c>
    </row>
    <row r="1898" spans="1:3" ht="11.25">
      <c r="A1898" s="3" t="str">
        <f>"921/12/1/MASAOKA"</f>
        <v>921/12/1/MASAOKA</v>
      </c>
      <c r="B1898" s="3" t="str">
        <f>"上"</f>
        <v>上</v>
      </c>
      <c r="C1898" s="3" t="str">
        <f>"七才詩集 / 陣継儒句解 李士安補註 ; 上・下, 上, 下.-- [出版者不明]; 元禄2(1689)年2月跋."</f>
        <v>七才詩集 / 陣継儒句解 李士安補註 ; 上・下, 上, 下.-- [出版者不明]; 元禄2(1689)年2月跋.</v>
      </c>
    </row>
    <row r="1899" spans="1:3" ht="11.25">
      <c r="A1899" s="3" t="str">
        <f>"921/12/2/MASAOKA"</f>
        <v>921/12/2/MASAOKA</v>
      </c>
      <c r="B1899" s="3" t="str">
        <f>"下"</f>
        <v>下</v>
      </c>
      <c r="C1899" s="3" t="str">
        <f>"七才詩集 / 陣継儒句解 李士安補註 ; 上・下, 上, 下.-- [出版者不明]; 元禄2(1689)年2月跋."</f>
        <v>七才詩集 / 陣継儒句解 李士安補註 ; 上・下, 上, 下.-- [出版者不明]; 元禄2(1689)年2月跋.</v>
      </c>
    </row>
    <row r="1900" spans="1:3" ht="11.25">
      <c r="A1900" s="3" t="str">
        <f>"921/13//MASAOKA"</f>
        <v>921/13//MASAOKA</v>
      </c>
      <c r="B1900" s="3" t="str">
        <f>"全"</f>
        <v>全</v>
      </c>
      <c r="C1900" s="3" t="str">
        <f>"原本重校寒山詩集 / 閭丘胤撰 ; 全.-- [出版者不明]; [出版年不明]."</f>
        <v>原本重校寒山詩集 / 閭丘胤撰 ; 全.-- [出版者不明]; [出版年不明].</v>
      </c>
    </row>
    <row r="1901" spans="1:3" ht="11.25">
      <c r="A1901" s="3" t="str">
        <f>"921/14/1/MASAOKA"</f>
        <v>921/14/1/MASAOKA</v>
      </c>
      <c r="B1901" s="3" t="str">
        <f>"年譜"</f>
        <v>年譜</v>
      </c>
      <c r="C1901" s="3" t="str">
        <f>"玉谿生詩詳註 / 李商隠 ; 年譜・1-3 - 3.-- 徳聚堂; 乾隆45(1780)年刊."</f>
        <v>玉谿生詩詳註 / 李商隠 ; 年譜・1-3 - 3.-- 徳聚堂; 乾隆45(1780)年刊.</v>
      </c>
    </row>
    <row r="1902" spans="1:3" ht="11.25">
      <c r="A1902" s="3" t="str">
        <f>"921/14/2/MASAOKA"</f>
        <v>921/14/2/MASAOKA</v>
      </c>
      <c r="B1902" s="3" t="str">
        <f>"1"</f>
        <v>1</v>
      </c>
      <c r="C1902" s="3" t="str">
        <f>"玉谿生詩詳註 / 李商隠 ; 年譜・1-3 - 3.-- 徳聚堂; 乾隆45(1780)年刊."</f>
        <v>玉谿生詩詳註 / 李商隠 ; 年譜・1-3 - 3.-- 徳聚堂; 乾隆45(1780)年刊.</v>
      </c>
    </row>
    <row r="1903" spans="1:3" ht="11.25">
      <c r="A1903" s="3" t="str">
        <f>"921/14/3/MASAOKA"</f>
        <v>921/14/3/MASAOKA</v>
      </c>
      <c r="B1903" s="3" t="str">
        <f>"2"</f>
        <v>2</v>
      </c>
      <c r="C1903" s="3" t="str">
        <f>"玉谿生詩詳註 / 李商隠 ; 年譜・1-3 - 3.-- 徳聚堂; 乾隆45(1780)年刊."</f>
        <v>玉谿生詩詳註 / 李商隠 ; 年譜・1-3 - 3.-- 徳聚堂; 乾隆45(1780)年刊.</v>
      </c>
    </row>
    <row r="1904" spans="1:3" ht="11.25">
      <c r="A1904" s="3" t="str">
        <f>"921/14/4/MASAOKA"</f>
        <v>921/14/4/MASAOKA</v>
      </c>
      <c r="B1904" s="3" t="str">
        <f>"3"</f>
        <v>3</v>
      </c>
      <c r="C1904" s="3" t="str">
        <f>"玉谿生詩詳註 / 李商隠 ; 年譜・1-3 - 3.-- 徳聚堂; 乾隆45(1780)年刊."</f>
        <v>玉谿生詩詳註 / 李商隠 ; 年譜・1-3 - 3.-- 徳聚堂; 乾隆45(1780)年刊.</v>
      </c>
    </row>
    <row r="1905" spans="1:3" ht="11.25">
      <c r="A1905" s="3" t="str">
        <f>"921/15/1/MASAOKA"</f>
        <v>921/15/1/MASAOKA</v>
      </c>
      <c r="B1905" s="3" t="str">
        <f>"原序・総目"</f>
        <v>原序・総目</v>
      </c>
      <c r="C1905" s="3" t="str">
        <f aca="true" t="shared" si="38" ref="C1905:C1920">"精萃録訓纂 / 漁洋山人著 ; 原序・総目,1,2上,2下,3上,3下,4下,4,5,6,7上,7下,8,9上,9下,10,附録 - 9下.-- 紅豆斎; 光緒17(1891)年."</f>
        <v>精萃録訓纂 / 漁洋山人著 ; 原序・総目,1,2上,2下,3上,3下,4下,4,5,6,7上,7下,8,9上,9下,10,附録 - 9下.-- 紅豆斎; 光緒17(1891)年.</v>
      </c>
    </row>
    <row r="1906" spans="1:3" ht="11.25">
      <c r="A1906" s="3" t="str">
        <f>"921/15/2/MASAOKA"</f>
        <v>921/15/2/MASAOKA</v>
      </c>
      <c r="B1906" s="3" t="str">
        <f>"1"</f>
        <v>1</v>
      </c>
      <c r="C1906" s="3" t="str">
        <f t="shared" si="38"/>
        <v>精萃録訓纂 / 漁洋山人著 ; 原序・総目,1,2上,2下,3上,3下,4下,4,5,6,7上,7下,8,9上,9下,10,附録 - 9下.-- 紅豆斎; 光緒17(1891)年.</v>
      </c>
    </row>
    <row r="1907" spans="1:3" ht="11.25">
      <c r="A1907" s="3" t="str">
        <f>"921/15/3/MASAOKA"</f>
        <v>921/15/3/MASAOKA</v>
      </c>
      <c r="B1907" s="3" t="str">
        <f>"2上"</f>
        <v>2上</v>
      </c>
      <c r="C1907" s="3" t="str">
        <f t="shared" si="38"/>
        <v>精萃録訓纂 / 漁洋山人著 ; 原序・総目,1,2上,2下,3上,3下,4下,4,5,6,7上,7下,8,9上,9下,10,附録 - 9下.-- 紅豆斎; 光緒17(1891)年.</v>
      </c>
    </row>
    <row r="1908" spans="1:3" ht="11.25">
      <c r="A1908" s="3" t="str">
        <f>"921/15/4/MASAOKA"</f>
        <v>921/15/4/MASAOKA</v>
      </c>
      <c r="B1908" s="3" t="str">
        <f>"2下"</f>
        <v>2下</v>
      </c>
      <c r="C1908" s="3" t="str">
        <f t="shared" si="38"/>
        <v>精萃録訓纂 / 漁洋山人著 ; 原序・総目,1,2上,2下,3上,3下,4下,4,5,6,7上,7下,8,9上,9下,10,附録 - 9下.-- 紅豆斎; 光緒17(1891)年.</v>
      </c>
    </row>
    <row r="1909" spans="1:3" ht="11.25">
      <c r="A1909" s="3" t="str">
        <f>"921/15/5/MASAOKA"</f>
        <v>921/15/5/MASAOKA</v>
      </c>
      <c r="B1909" s="3" t="str">
        <f>"3上"</f>
        <v>3上</v>
      </c>
      <c r="C1909" s="3" t="str">
        <f t="shared" si="38"/>
        <v>精萃録訓纂 / 漁洋山人著 ; 原序・総目,1,2上,2下,3上,3下,4下,4,5,6,7上,7下,8,9上,9下,10,附録 - 9下.-- 紅豆斎; 光緒17(1891)年.</v>
      </c>
    </row>
    <row r="1910" spans="1:3" ht="11.25">
      <c r="A1910" s="3" t="str">
        <f>"921/15/6/MASAOKA"</f>
        <v>921/15/6/MASAOKA</v>
      </c>
      <c r="B1910" s="3" t="str">
        <f>"3下"</f>
        <v>3下</v>
      </c>
      <c r="C1910" s="3" t="str">
        <f t="shared" si="38"/>
        <v>精萃録訓纂 / 漁洋山人著 ; 原序・総目,1,2上,2下,3上,3下,4下,4,5,6,7上,7下,8,9上,9下,10,附録 - 9下.-- 紅豆斎; 光緒17(1891)年.</v>
      </c>
    </row>
    <row r="1911" spans="1:3" ht="11.25">
      <c r="A1911" s="3" t="str">
        <f>"921/15/7/MASAOKA"</f>
        <v>921/15/7/MASAOKA</v>
      </c>
      <c r="B1911" s="3" t="str">
        <f>"4"</f>
        <v>4</v>
      </c>
      <c r="C1911" s="3" t="str">
        <f t="shared" si="38"/>
        <v>精萃録訓纂 / 漁洋山人著 ; 原序・総目,1,2上,2下,3上,3下,4下,4,5,6,7上,7下,8,9上,9下,10,附録 - 9下.-- 紅豆斎; 光緒17(1891)年.</v>
      </c>
    </row>
    <row r="1912" spans="1:3" ht="11.25">
      <c r="A1912" s="3" t="str">
        <f>"921/15/8/MASAOKA"</f>
        <v>921/15/8/MASAOKA</v>
      </c>
      <c r="B1912" s="3" t="str">
        <f>"5"</f>
        <v>5</v>
      </c>
      <c r="C1912" s="3" t="str">
        <f t="shared" si="38"/>
        <v>精萃録訓纂 / 漁洋山人著 ; 原序・総目,1,2上,2下,3上,3下,4下,4,5,6,7上,7下,8,9上,9下,10,附録 - 9下.-- 紅豆斎; 光緒17(1891)年.</v>
      </c>
    </row>
    <row r="1913" spans="1:3" ht="11.25">
      <c r="A1913" s="3" t="str">
        <f>"921/15/9/MASAOKA"</f>
        <v>921/15/9/MASAOKA</v>
      </c>
      <c r="B1913" s="3" t="str">
        <f>"6"</f>
        <v>6</v>
      </c>
      <c r="C1913" s="3" t="str">
        <f t="shared" si="38"/>
        <v>精萃録訓纂 / 漁洋山人著 ; 原序・総目,1,2上,2下,3上,3下,4下,4,5,6,7上,7下,8,9上,9下,10,附録 - 9下.-- 紅豆斎; 光緒17(1891)年.</v>
      </c>
    </row>
    <row r="1914" spans="1:3" ht="11.25">
      <c r="A1914" s="3" t="str">
        <f>"921/15/10/MASAOKA"</f>
        <v>921/15/10/MASAOKA</v>
      </c>
      <c r="B1914" s="3" t="str">
        <f>"7上"</f>
        <v>7上</v>
      </c>
      <c r="C1914" s="3" t="str">
        <f t="shared" si="38"/>
        <v>精萃録訓纂 / 漁洋山人著 ; 原序・総目,1,2上,2下,3上,3下,4下,4,5,6,7上,7下,8,9上,9下,10,附録 - 9下.-- 紅豆斎; 光緒17(1891)年.</v>
      </c>
    </row>
    <row r="1915" spans="1:3" ht="11.25">
      <c r="A1915" s="3" t="str">
        <f>"921/15/11/MASAOKA"</f>
        <v>921/15/11/MASAOKA</v>
      </c>
      <c r="B1915" s="3" t="str">
        <f>"7下"</f>
        <v>7下</v>
      </c>
      <c r="C1915" s="3" t="str">
        <f t="shared" si="38"/>
        <v>精萃録訓纂 / 漁洋山人著 ; 原序・総目,1,2上,2下,3上,3下,4下,4,5,6,7上,7下,8,9上,9下,10,附録 - 9下.-- 紅豆斎; 光緒17(1891)年.</v>
      </c>
    </row>
    <row r="1916" spans="1:3" ht="11.25">
      <c r="A1916" s="3" t="str">
        <f>"921/15/12/MASAOKA"</f>
        <v>921/15/12/MASAOKA</v>
      </c>
      <c r="B1916" s="3" t="str">
        <f>"8"</f>
        <v>8</v>
      </c>
      <c r="C1916" s="3" t="str">
        <f t="shared" si="38"/>
        <v>精萃録訓纂 / 漁洋山人著 ; 原序・総目,1,2上,2下,3上,3下,4下,4,5,6,7上,7下,8,9上,9下,10,附録 - 9下.-- 紅豆斎; 光緒17(1891)年.</v>
      </c>
    </row>
    <row r="1917" spans="1:3" ht="11.25">
      <c r="A1917" s="3" t="str">
        <f>"921/15/13/MASAOKA"</f>
        <v>921/15/13/MASAOKA</v>
      </c>
      <c r="B1917" s="3" t="str">
        <f>"9上"</f>
        <v>9上</v>
      </c>
      <c r="C1917" s="3" t="str">
        <f t="shared" si="38"/>
        <v>精萃録訓纂 / 漁洋山人著 ; 原序・総目,1,2上,2下,3上,3下,4下,4,5,6,7上,7下,8,9上,9下,10,附録 - 9下.-- 紅豆斎; 光緒17(1891)年.</v>
      </c>
    </row>
    <row r="1918" spans="1:3" ht="11.25">
      <c r="A1918" s="3" t="str">
        <f>"921/15/14/MASAOKA"</f>
        <v>921/15/14/MASAOKA</v>
      </c>
      <c r="B1918" s="3" t="str">
        <f>"9下"</f>
        <v>9下</v>
      </c>
      <c r="C1918" s="3" t="str">
        <f t="shared" si="38"/>
        <v>精萃録訓纂 / 漁洋山人著 ; 原序・総目,1,2上,2下,3上,3下,4下,4,5,6,7上,7下,8,9上,9下,10,附録 - 9下.-- 紅豆斎; 光緒17(1891)年.</v>
      </c>
    </row>
    <row r="1919" spans="1:3" ht="11.25">
      <c r="A1919" s="3" t="str">
        <f>"921/15/15/MASAOKA"</f>
        <v>921/15/15/MASAOKA</v>
      </c>
      <c r="B1919" s="3" t="str">
        <f>"10"</f>
        <v>10</v>
      </c>
      <c r="C1919" s="3" t="str">
        <f t="shared" si="38"/>
        <v>精萃録訓纂 / 漁洋山人著 ; 原序・総目,1,2上,2下,3上,3下,4下,4,5,6,7上,7下,8,9上,9下,10,附録 - 9下.-- 紅豆斎; 光緒17(1891)年.</v>
      </c>
    </row>
    <row r="1920" spans="1:3" ht="11.25">
      <c r="A1920" s="3" t="str">
        <f>"921/15/16/MASAOKA"</f>
        <v>921/15/16/MASAOKA</v>
      </c>
      <c r="B1920" s="3" t="str">
        <f>"附録"</f>
        <v>附録</v>
      </c>
      <c r="C1920" s="3" t="str">
        <f t="shared" si="38"/>
        <v>精萃録訓纂 / 漁洋山人著 ; 原序・総目,1,2上,2下,3上,3下,4下,4,5,6,7上,7下,8,9上,9下,10,附録 - 9下.-- 紅豆斎; 光緒17(1891)年.</v>
      </c>
    </row>
    <row r="1921" spans="1:3" ht="11.25">
      <c r="A1921" s="3" t="str">
        <f>"921/16//MASAOKA"</f>
        <v>921/16//MASAOKA</v>
      </c>
      <c r="B1921" s="3">
        <f>""</f>
      </c>
      <c r="C1921" s="3" t="str">
        <f>"唐詩選 / 服部南郭.-- 小林新兵衛[ほか1軒]; 文化4(1807)年3月刊."</f>
        <v>唐詩選 / 服部南郭.-- 小林新兵衛[ほか1軒]; 文化4(1807)年3月刊.</v>
      </c>
    </row>
    <row r="1922" spans="1:3" ht="11.25">
      <c r="A1922" s="3" t="str">
        <f>"921/17/1/MASAOKA"</f>
        <v>921/17/1/MASAOKA</v>
      </c>
      <c r="B1922" s="3" t="str">
        <f>"1・2"</f>
        <v>1・2</v>
      </c>
      <c r="C1922" s="3" t="str">
        <f>"宗詩別裁集 / 張景星編選 ; 1-8 - 7・8.-- 伊東武彦; 明治13(1880)年3月."</f>
        <v>宗詩別裁集 / 張景星編選 ; 1-8 - 7・8.-- 伊東武彦; 明治13(1880)年3月.</v>
      </c>
    </row>
    <row r="1923" spans="1:3" ht="11.25">
      <c r="A1923" s="3" t="str">
        <f>"921/17/2/MASAOKA"</f>
        <v>921/17/2/MASAOKA</v>
      </c>
      <c r="B1923" s="3" t="str">
        <f>"3・4"</f>
        <v>3・4</v>
      </c>
      <c r="C1923" s="3" t="str">
        <f>"宗詩別裁集 / 張景星編選 ; 1-8 - 7・8.-- 伊東武彦; 明治13(1880)年3月."</f>
        <v>宗詩別裁集 / 張景星編選 ; 1-8 - 7・8.-- 伊東武彦; 明治13(1880)年3月.</v>
      </c>
    </row>
    <row r="1924" spans="1:3" ht="11.25">
      <c r="A1924" s="3" t="str">
        <f>"921/17/3/MASAOKA"</f>
        <v>921/17/3/MASAOKA</v>
      </c>
      <c r="B1924" s="3" t="str">
        <f>"5・6"</f>
        <v>5・6</v>
      </c>
      <c r="C1924" s="3" t="str">
        <f>"宗詩別裁集 / 張景星編選 ; 1-8 - 7・8.-- 伊東武彦; 明治13(1880)年3月."</f>
        <v>宗詩別裁集 / 張景星編選 ; 1-8 - 7・8.-- 伊東武彦; 明治13(1880)年3月.</v>
      </c>
    </row>
    <row r="1925" spans="1:3" ht="11.25">
      <c r="A1925" s="3" t="str">
        <f>"921/17/4/MASAOKA"</f>
        <v>921/17/4/MASAOKA</v>
      </c>
      <c r="B1925" s="3" t="str">
        <f>"7・8"</f>
        <v>7・8</v>
      </c>
      <c r="C1925" s="3" t="str">
        <f>"宗詩別裁集 / 張景星編選 ; 1-8 - 7・8.-- 伊東武彦; 明治13(1880)年3月."</f>
        <v>宗詩別裁集 / 張景星編選 ; 1-8 - 7・8.-- 伊東武彦; 明治13(1880)年3月.</v>
      </c>
    </row>
    <row r="1926" spans="1:3" ht="11.25">
      <c r="A1926" s="3" t="str">
        <f>"921/18/1/MASAOKA"</f>
        <v>921/18/1/MASAOKA</v>
      </c>
      <c r="B1926" s="3" t="str">
        <f>"天(巻1・2)"</f>
        <v>天(巻1・2)</v>
      </c>
      <c r="C1926" s="3" t="str">
        <f>"金元清詩類選 / 大江維緝編 ; 天・人, 天(巻1・2), 人(巻6~8).-- 菱屋孫兵衛[ほか9軒]; 安政3(1856)年刊."</f>
        <v>金元清詩類選 / 大江維緝編 ; 天・人, 天(巻1・2), 人(巻6~8).-- 菱屋孫兵衛[ほか9軒]; 安政3(1856)年刊.</v>
      </c>
    </row>
    <row r="1927" spans="1:3" ht="11.25">
      <c r="A1927" s="3" t="str">
        <f>"921/18/3/MASAOKA"</f>
        <v>921/18/3/MASAOKA</v>
      </c>
      <c r="B1927" s="3" t="str">
        <f>"人(巻6~8)"</f>
        <v>人(巻6~8)</v>
      </c>
      <c r="C1927" s="3" t="str">
        <f>"金元清詩類選 / 大江維緝編 ; 天・人, 天(巻1・2), 人(巻6~8).-- 菱屋孫兵衛[ほか9軒]; 安政3(1856)年刊."</f>
        <v>金元清詩類選 / 大江維緝編 ; 天・人, 天(巻1・2), 人(巻6~8).-- 菱屋孫兵衛[ほか9軒]; 安政3(1856)年刊.</v>
      </c>
    </row>
    <row r="1928" spans="1:3" ht="11.25">
      <c r="A1928" s="3" t="str">
        <f>"921/19/1/MASAOKA"</f>
        <v>921/19/1/MASAOKA</v>
      </c>
      <c r="B1928" s="3" t="str">
        <f>"上"</f>
        <v>上</v>
      </c>
      <c r="C1928" s="3" t="str">
        <f>"瀛奎律髄 / 方回撰 ; 上・下, 上, 下.-- 朝倉儀助[ほか9軒]; 文化5(1808)年8月刊."</f>
        <v>瀛奎律髄 / 方回撰 ; 上・下, 上, 下.-- 朝倉儀助[ほか9軒]; 文化5(1808)年8月刊.</v>
      </c>
    </row>
    <row r="1929" spans="1:3" ht="11.25">
      <c r="A1929" s="3" t="str">
        <f>"921/19/2/MASAOKA"</f>
        <v>921/19/2/MASAOKA</v>
      </c>
      <c r="B1929" s="3" t="str">
        <f>"下"</f>
        <v>下</v>
      </c>
      <c r="C1929" s="3" t="str">
        <f>"瀛奎律髄 / 方回撰 ; 上・下, 上, 下.-- 朝倉儀助[ほか9軒]; 文化5(1808)年8月刊."</f>
        <v>瀛奎律髄 / 方回撰 ; 上・下, 上, 下.-- 朝倉儀助[ほか9軒]; 文化5(1808)年8月刊.</v>
      </c>
    </row>
    <row r="1930" spans="1:3" ht="11.25">
      <c r="A1930" s="3" t="str">
        <f>"921/20//MASAOKA"</f>
        <v>921/20//MASAOKA</v>
      </c>
      <c r="B1930" s="3" t="str">
        <f>"巻之1-3"</f>
        <v>巻之1-3</v>
      </c>
      <c r="C1930" s="3" t="str">
        <f>"唐三体詩 / 周弼撰 ; 巻之1-3.-- [製作者不明]; [製作年不明]."</f>
        <v>唐三体詩 / 周弼撰 ; 巻之1-3.-- [製作者不明]; [製作年不明].</v>
      </c>
    </row>
    <row r="1931" spans="1:3" ht="11.25">
      <c r="A1931" s="3" t="str">
        <f>"921/21/1/MASAOKA"</f>
        <v>921/21/1/MASAOKA</v>
      </c>
      <c r="B1931" s="3" t="str">
        <f>"詩学全書 巻1"</f>
        <v>詩学全書 巻1</v>
      </c>
      <c r="C1931" s="3" t="str">
        <f>"円機活法 / 王世貞校正 ; 詩学全書 巻1.-- 新刻重校増補.-- 八尾甚四郎友春; 寛文13(1673)年4月刊."</f>
        <v>円機活法 / 王世貞校正 ; 詩学全書 巻1.-- 新刻重校増補.-- 八尾甚四郎友春; 寛文13(1673)年4月刊.</v>
      </c>
    </row>
    <row r="1932" spans="1:3" ht="11.25">
      <c r="A1932" s="3" t="str">
        <f>"921/21/2/MASAOKA"</f>
        <v>921/21/2/MASAOKA</v>
      </c>
      <c r="B1932" s="3" t="str">
        <f>"巻2"</f>
        <v>巻2</v>
      </c>
      <c r="C1932" s="3" t="str">
        <f aca="true" t="shared" si="39" ref="C1932:C1944">"円機活法詩学全書 / 王世貞校正 ; 巻2-24 - 巻23~24.-- 新刻重校増補.-- 八尾甚四郎友春; 寛文12(1672)年-寛文13(1673)年."</f>
        <v>円機活法詩学全書 / 王世貞校正 ; 巻2-24 - 巻23~24.-- 新刻重校増補.-- 八尾甚四郎友春; 寛文12(1672)年-寛文13(1673)年.</v>
      </c>
    </row>
    <row r="1933" spans="1:3" ht="11.25">
      <c r="A1933" s="3" t="str">
        <f>"921/21/3/MASAOKA"</f>
        <v>921/21/3/MASAOKA</v>
      </c>
      <c r="B1933" s="3" t="str">
        <f>"巻3"</f>
        <v>巻3</v>
      </c>
      <c r="C1933" s="3" t="str">
        <f t="shared" si="39"/>
        <v>円機活法詩学全書 / 王世貞校正 ; 巻2-24 - 巻23~24.-- 新刻重校増補.-- 八尾甚四郎友春; 寛文12(1672)年-寛文13(1673)年.</v>
      </c>
    </row>
    <row r="1934" spans="1:3" ht="11.25">
      <c r="A1934" s="3" t="str">
        <f>"921/21/4/MASAOKA"</f>
        <v>921/21/4/MASAOKA</v>
      </c>
      <c r="B1934" s="3" t="str">
        <f>"巻4"</f>
        <v>巻4</v>
      </c>
      <c r="C1934" s="3" t="str">
        <f t="shared" si="39"/>
        <v>円機活法詩学全書 / 王世貞校正 ; 巻2-24 - 巻23~24.-- 新刻重校増補.-- 八尾甚四郎友春; 寛文12(1672)年-寛文13(1673)年.</v>
      </c>
    </row>
    <row r="1935" spans="1:3" ht="11.25">
      <c r="A1935" s="3" t="str">
        <f>"921/21/5/MASAOKA"</f>
        <v>921/21/5/MASAOKA</v>
      </c>
      <c r="B1935" s="3" t="str">
        <f>"巻5~6"</f>
        <v>巻5~6</v>
      </c>
      <c r="C1935" s="3" t="str">
        <f t="shared" si="39"/>
        <v>円機活法詩学全書 / 王世貞校正 ; 巻2-24 - 巻23~24.-- 新刻重校増補.-- 八尾甚四郎友春; 寛文12(1672)年-寛文13(1673)年.</v>
      </c>
    </row>
    <row r="1936" spans="1:3" ht="11.25">
      <c r="A1936" s="3" t="str">
        <f>"921/21/6/MASAOKA"</f>
        <v>921/21/6/MASAOKA</v>
      </c>
      <c r="B1936" s="3" t="str">
        <f>"巻7~8"</f>
        <v>巻7~8</v>
      </c>
      <c r="C1936" s="3" t="str">
        <f t="shared" si="39"/>
        <v>円機活法詩学全書 / 王世貞校正 ; 巻2-24 - 巻23~24.-- 新刻重校増補.-- 八尾甚四郎友春; 寛文12(1672)年-寛文13(1673)年.</v>
      </c>
    </row>
    <row r="1937" spans="1:3" ht="11.25">
      <c r="A1937" s="3" t="str">
        <f>"921/21/7/MASAOKA"</f>
        <v>921/21/7/MASAOKA</v>
      </c>
      <c r="B1937" s="3" t="str">
        <f>"巻9~10"</f>
        <v>巻9~10</v>
      </c>
      <c r="C1937" s="3" t="str">
        <f t="shared" si="39"/>
        <v>円機活法詩学全書 / 王世貞校正 ; 巻2-24 - 巻23~24.-- 新刻重校増補.-- 八尾甚四郎友春; 寛文12(1672)年-寛文13(1673)年.</v>
      </c>
    </row>
    <row r="1938" spans="1:3" ht="11.25">
      <c r="A1938" s="3" t="str">
        <f>"921/21/8/MASAOKA"</f>
        <v>921/21/8/MASAOKA</v>
      </c>
      <c r="B1938" s="3" t="str">
        <f>"巻11~12"</f>
        <v>巻11~12</v>
      </c>
      <c r="C1938" s="3" t="str">
        <f t="shared" si="39"/>
        <v>円機活法詩学全書 / 王世貞校正 ; 巻2-24 - 巻23~24.-- 新刻重校増補.-- 八尾甚四郎友春; 寛文12(1672)年-寛文13(1673)年.</v>
      </c>
    </row>
    <row r="1939" spans="1:3" ht="11.25">
      <c r="A1939" s="3" t="str">
        <f>"921/21/9/MASAOKA"</f>
        <v>921/21/9/MASAOKA</v>
      </c>
      <c r="B1939" s="3" t="str">
        <f>"巻13~14"</f>
        <v>巻13~14</v>
      </c>
      <c r="C1939" s="3" t="str">
        <f t="shared" si="39"/>
        <v>円機活法詩学全書 / 王世貞校正 ; 巻2-24 - 巻23~24.-- 新刻重校増補.-- 八尾甚四郎友春; 寛文12(1672)年-寛文13(1673)年.</v>
      </c>
    </row>
    <row r="1940" spans="1:3" ht="11.25">
      <c r="A1940" s="3" t="str">
        <f>"921/21/10/MASAOKA"</f>
        <v>921/21/10/MASAOKA</v>
      </c>
      <c r="B1940" s="3" t="str">
        <f>"巻15~16"</f>
        <v>巻15~16</v>
      </c>
      <c r="C1940" s="3" t="str">
        <f t="shared" si="39"/>
        <v>円機活法詩学全書 / 王世貞校正 ; 巻2-24 - 巻23~24.-- 新刻重校増補.-- 八尾甚四郎友春; 寛文12(1672)年-寛文13(1673)年.</v>
      </c>
    </row>
    <row r="1941" spans="1:3" ht="11.25">
      <c r="A1941" s="3" t="str">
        <f>"921/21/11/MASAOKA"</f>
        <v>921/21/11/MASAOKA</v>
      </c>
      <c r="B1941" s="3" t="str">
        <f>"巻17~18"</f>
        <v>巻17~18</v>
      </c>
      <c r="C1941" s="3" t="str">
        <f t="shared" si="39"/>
        <v>円機活法詩学全書 / 王世貞校正 ; 巻2-24 - 巻23~24.-- 新刻重校増補.-- 八尾甚四郎友春; 寛文12(1672)年-寛文13(1673)年.</v>
      </c>
    </row>
    <row r="1942" spans="1:3" ht="11.25">
      <c r="A1942" s="3" t="str">
        <f>"921/21/12/MASAOKA"</f>
        <v>921/21/12/MASAOKA</v>
      </c>
      <c r="B1942" s="3" t="str">
        <f>"巻19~20"</f>
        <v>巻19~20</v>
      </c>
      <c r="C1942" s="3" t="str">
        <f t="shared" si="39"/>
        <v>円機活法詩学全書 / 王世貞校正 ; 巻2-24 - 巻23~24.-- 新刻重校増補.-- 八尾甚四郎友春; 寛文12(1672)年-寛文13(1673)年.</v>
      </c>
    </row>
    <row r="1943" spans="1:3" ht="11.25">
      <c r="A1943" s="3" t="str">
        <f>"921/21/13/MASAOKA"</f>
        <v>921/21/13/MASAOKA</v>
      </c>
      <c r="B1943" s="3" t="str">
        <f>"巻21~22"</f>
        <v>巻21~22</v>
      </c>
      <c r="C1943" s="3" t="str">
        <f t="shared" si="39"/>
        <v>円機活法詩学全書 / 王世貞校正 ; 巻2-24 - 巻23~24.-- 新刻重校増補.-- 八尾甚四郎友春; 寛文12(1672)年-寛文13(1673)年.</v>
      </c>
    </row>
    <row r="1944" spans="1:3" ht="11.25">
      <c r="A1944" s="3" t="str">
        <f>"921/21/14/MASAOKA"</f>
        <v>921/21/14/MASAOKA</v>
      </c>
      <c r="B1944" s="3" t="str">
        <f>"巻23~24"</f>
        <v>巻23~24</v>
      </c>
      <c r="C1944" s="3" t="str">
        <f t="shared" si="39"/>
        <v>円機活法詩学全書 / 王世貞校正 ; 巻2-24 - 巻23~24.-- 新刻重校増補.-- 八尾甚四郎友春; 寛文12(1672)年-寛文13(1673)年.</v>
      </c>
    </row>
    <row r="1945" spans="1:3" ht="11.25">
      <c r="A1945" s="3" t="str">
        <f>"921/22/1/MASAOKA"</f>
        <v>921/22/1/MASAOKA</v>
      </c>
      <c r="B1945" s="3" t="str">
        <f>"巻1~2"</f>
        <v>巻1~2</v>
      </c>
      <c r="C1945" s="3" t="str">
        <f aca="true" t="shared" si="40" ref="C1945:C1950">"円機詩韻活法全書 / 王世貞校正 ; 巻1-14 - 巻13~14.-- 新刊校正増補.-- 八尾氏友春; 寛文12(1672)年12月刊."</f>
        <v>円機詩韻活法全書 / 王世貞校正 ; 巻1-14 - 巻13~14.-- 新刊校正増補.-- 八尾氏友春; 寛文12(1672)年12月刊.</v>
      </c>
    </row>
    <row r="1946" spans="1:3" ht="11.25">
      <c r="A1946" s="3" t="str">
        <f>"921/22/2/MASAOKA"</f>
        <v>921/22/2/MASAOKA</v>
      </c>
      <c r="B1946" s="3" t="str">
        <f>"巻3~5"</f>
        <v>巻3~5</v>
      </c>
      <c r="C1946" s="3" t="str">
        <f t="shared" si="40"/>
        <v>円機詩韻活法全書 / 王世貞校正 ; 巻1-14 - 巻13~14.-- 新刊校正増補.-- 八尾氏友春; 寛文12(1672)年12月刊.</v>
      </c>
    </row>
    <row r="1947" spans="1:3" ht="11.25">
      <c r="A1947" s="3" t="str">
        <f>"921/22/3/MASAOKA"</f>
        <v>921/22/3/MASAOKA</v>
      </c>
      <c r="B1947" s="3" t="str">
        <f>"巻6~8"</f>
        <v>巻6~8</v>
      </c>
      <c r="C1947" s="3" t="str">
        <f t="shared" si="40"/>
        <v>円機詩韻活法全書 / 王世貞校正 ; 巻1-14 - 巻13~14.-- 新刊校正増補.-- 八尾氏友春; 寛文12(1672)年12月刊.</v>
      </c>
    </row>
    <row r="1948" spans="1:3" ht="11.25">
      <c r="A1948" s="3" t="str">
        <f>"921/22/4/MASAOKA"</f>
        <v>921/22/4/MASAOKA</v>
      </c>
      <c r="B1948" s="3" t="str">
        <f>"巻9~10"</f>
        <v>巻9~10</v>
      </c>
      <c r="C1948" s="3" t="str">
        <f t="shared" si="40"/>
        <v>円機詩韻活法全書 / 王世貞校正 ; 巻1-14 - 巻13~14.-- 新刊校正増補.-- 八尾氏友春; 寛文12(1672)年12月刊.</v>
      </c>
    </row>
    <row r="1949" spans="1:3" ht="11.25">
      <c r="A1949" s="3" t="str">
        <f>"921/22/5/MASAOKA"</f>
        <v>921/22/5/MASAOKA</v>
      </c>
      <c r="B1949" s="3" t="str">
        <f>"巻11~12"</f>
        <v>巻11~12</v>
      </c>
      <c r="C1949" s="3" t="str">
        <f t="shared" si="40"/>
        <v>円機詩韻活法全書 / 王世貞校正 ; 巻1-14 - 巻13~14.-- 新刊校正増補.-- 八尾氏友春; 寛文12(1672)年12月刊.</v>
      </c>
    </row>
    <row r="1950" spans="1:3" ht="11.25">
      <c r="A1950" s="3" t="str">
        <f>"921/22/6/MASAOKA"</f>
        <v>921/22/6/MASAOKA</v>
      </c>
      <c r="B1950" s="3" t="str">
        <f>"巻13~14"</f>
        <v>巻13~14</v>
      </c>
      <c r="C1950" s="3" t="str">
        <f t="shared" si="40"/>
        <v>円機詩韻活法全書 / 王世貞校正 ; 巻1-14 - 巻13~14.-- 新刊校正増補.-- 八尾氏友春; 寛文12(1672)年12月刊.</v>
      </c>
    </row>
    <row r="1951" spans="1:3" ht="11.25">
      <c r="A1951" s="3" t="str">
        <f>"921/23/1/MASAOKA"</f>
        <v>921/23/1/MASAOKA</v>
      </c>
      <c r="B1951" s="3" t="str">
        <f>"1"</f>
        <v>1</v>
      </c>
      <c r="C1951" s="3" t="str">
        <f aca="true" t="shared" si="41" ref="C1951:C1960">"彙纂詩法度鍼 / 豊城徐文弼 ; 1-10 - 10.-- 同人堂; 乾隆24(1759)年序."</f>
        <v>彙纂詩法度鍼 / 豊城徐文弼 ; 1-10 - 10.-- 同人堂; 乾隆24(1759)年序.</v>
      </c>
    </row>
    <row r="1952" spans="1:3" ht="11.25">
      <c r="A1952" s="3" t="str">
        <f>"921/23/2/MASAOKA"</f>
        <v>921/23/2/MASAOKA</v>
      </c>
      <c r="B1952" s="3" t="str">
        <f>"2"</f>
        <v>2</v>
      </c>
      <c r="C1952" s="3" t="str">
        <f t="shared" si="41"/>
        <v>彙纂詩法度鍼 / 豊城徐文弼 ; 1-10 - 10.-- 同人堂; 乾隆24(1759)年序.</v>
      </c>
    </row>
    <row r="1953" spans="1:3" ht="11.25">
      <c r="A1953" s="3" t="str">
        <f>"921/23/3/MASAOKA"</f>
        <v>921/23/3/MASAOKA</v>
      </c>
      <c r="B1953" s="3" t="str">
        <f>"3"</f>
        <v>3</v>
      </c>
      <c r="C1953" s="3" t="str">
        <f t="shared" si="41"/>
        <v>彙纂詩法度鍼 / 豊城徐文弼 ; 1-10 - 10.-- 同人堂; 乾隆24(1759)年序.</v>
      </c>
    </row>
    <row r="1954" spans="1:3" ht="11.25">
      <c r="A1954" s="3" t="str">
        <f>"921/23/4/MASAOKA"</f>
        <v>921/23/4/MASAOKA</v>
      </c>
      <c r="B1954" s="3" t="str">
        <f>"4"</f>
        <v>4</v>
      </c>
      <c r="C1954" s="3" t="str">
        <f t="shared" si="41"/>
        <v>彙纂詩法度鍼 / 豊城徐文弼 ; 1-10 - 10.-- 同人堂; 乾隆24(1759)年序.</v>
      </c>
    </row>
    <row r="1955" spans="1:3" ht="11.25">
      <c r="A1955" s="3" t="str">
        <f>"921/23/5/MASAOKA"</f>
        <v>921/23/5/MASAOKA</v>
      </c>
      <c r="B1955" s="3" t="str">
        <f>"5"</f>
        <v>5</v>
      </c>
      <c r="C1955" s="3" t="str">
        <f t="shared" si="41"/>
        <v>彙纂詩法度鍼 / 豊城徐文弼 ; 1-10 - 10.-- 同人堂; 乾隆24(1759)年序.</v>
      </c>
    </row>
    <row r="1956" spans="1:3" ht="11.25">
      <c r="A1956" s="3" t="str">
        <f>"921/23/6/MASAOKA"</f>
        <v>921/23/6/MASAOKA</v>
      </c>
      <c r="B1956" s="3" t="str">
        <f>"6"</f>
        <v>6</v>
      </c>
      <c r="C1956" s="3" t="str">
        <f t="shared" si="41"/>
        <v>彙纂詩法度鍼 / 豊城徐文弼 ; 1-10 - 10.-- 同人堂; 乾隆24(1759)年序.</v>
      </c>
    </row>
    <row r="1957" spans="1:3" ht="11.25">
      <c r="A1957" s="3" t="str">
        <f>"921/23/7/MASAOKA"</f>
        <v>921/23/7/MASAOKA</v>
      </c>
      <c r="B1957" s="3" t="str">
        <f>"7"</f>
        <v>7</v>
      </c>
      <c r="C1957" s="3" t="str">
        <f t="shared" si="41"/>
        <v>彙纂詩法度鍼 / 豊城徐文弼 ; 1-10 - 10.-- 同人堂; 乾隆24(1759)年序.</v>
      </c>
    </row>
    <row r="1958" spans="1:3" ht="11.25">
      <c r="A1958" s="3" t="str">
        <f>"921/23/8/MASAOKA"</f>
        <v>921/23/8/MASAOKA</v>
      </c>
      <c r="B1958" s="3" t="str">
        <f>"8"</f>
        <v>8</v>
      </c>
      <c r="C1958" s="3" t="str">
        <f t="shared" si="41"/>
        <v>彙纂詩法度鍼 / 豊城徐文弼 ; 1-10 - 10.-- 同人堂; 乾隆24(1759)年序.</v>
      </c>
    </row>
    <row r="1959" spans="1:3" ht="11.25">
      <c r="A1959" s="3" t="str">
        <f>"921/23/9/MASAOKA"</f>
        <v>921/23/9/MASAOKA</v>
      </c>
      <c r="B1959" s="3" t="str">
        <f>"9"</f>
        <v>9</v>
      </c>
      <c r="C1959" s="3" t="str">
        <f t="shared" si="41"/>
        <v>彙纂詩法度鍼 / 豊城徐文弼 ; 1-10 - 10.-- 同人堂; 乾隆24(1759)年序.</v>
      </c>
    </row>
    <row r="1960" spans="1:3" ht="11.25">
      <c r="A1960" s="3" t="str">
        <f>"921/23/10/MASAOKA"</f>
        <v>921/23/10/MASAOKA</v>
      </c>
      <c r="B1960" s="3" t="str">
        <f>"10"</f>
        <v>10</v>
      </c>
      <c r="C1960" s="3" t="str">
        <f t="shared" si="41"/>
        <v>彙纂詩法度鍼 / 豊城徐文弼 ; 1-10 - 10.-- 同人堂; 乾隆24(1759)年序.</v>
      </c>
    </row>
    <row r="1961" spans="1:3" ht="11.25">
      <c r="A1961" s="3" t="str">
        <f>"921/24/1/MASAOKA"</f>
        <v>921/24/1/MASAOKA</v>
      </c>
      <c r="B1961" s="3" t="str">
        <f>"上"</f>
        <v>上</v>
      </c>
      <c r="C1961" s="3" t="str">
        <f>"清廿四家詩 : 廿四家選 / 中島一男編 ; 上, 中, 下.-- 森春涛(二四書肆); 明治11(1878)年10月."</f>
        <v>清廿四家詩 : 廿四家選 / 中島一男編 ; 上, 中, 下.-- 森春涛(二四書肆); 明治11(1878)年10月.</v>
      </c>
    </row>
    <row r="1962" spans="1:3" ht="11.25">
      <c r="A1962" s="3" t="str">
        <f>"921/24/2/MASAOKA"</f>
        <v>921/24/2/MASAOKA</v>
      </c>
      <c r="B1962" s="3" t="str">
        <f>"中"</f>
        <v>中</v>
      </c>
      <c r="C1962" s="3" t="str">
        <f>"清廿四家詩 : 廿四家選 / 中島一男編 ; 上, 中, 下.-- 森春涛(二四書肆); 明治11(1878)年10月."</f>
        <v>清廿四家詩 : 廿四家選 / 中島一男編 ; 上, 中, 下.-- 森春涛(二四書肆); 明治11(1878)年10月.</v>
      </c>
    </row>
    <row r="1963" spans="1:3" ht="11.25">
      <c r="A1963" s="3" t="str">
        <f>"921/24/3/MASAOKA"</f>
        <v>921/24/3/MASAOKA</v>
      </c>
      <c r="B1963" s="3" t="str">
        <f>"下"</f>
        <v>下</v>
      </c>
      <c r="C1963" s="3" t="str">
        <f>"清廿四家詩 : 廿四家選 / 中島一男編 ; 上, 中, 下.-- 森春涛(二四書肆); 明治11(1878)年10月."</f>
        <v>清廿四家詩 : 廿四家選 / 中島一男編 ; 上, 中, 下.-- 森春涛(二四書肆); 明治11(1878)年10月.</v>
      </c>
    </row>
    <row r="1964" spans="1:3" ht="11.25">
      <c r="A1964" s="3" t="str">
        <f>"921/25/1/MASAOKA"</f>
        <v>921/25/1/MASAOKA</v>
      </c>
      <c r="B1964" s="3" t="str">
        <f>"乾"</f>
        <v>乾</v>
      </c>
      <c r="C1964" s="3" t="str">
        <f>"晩唐十家絶句 / 館柳湾編 ; 乾・坤, 乾, 坤.-- 玉巌堂[ほか10軒]; 文化4(1807)年序刊."</f>
        <v>晩唐十家絶句 / 館柳湾編 ; 乾・坤, 乾, 坤.-- 玉巌堂[ほか10軒]; 文化4(1807)年序刊.</v>
      </c>
    </row>
    <row r="1965" spans="1:3" ht="11.25">
      <c r="A1965" s="3" t="str">
        <f>"921/25/2/MASAOKA"</f>
        <v>921/25/2/MASAOKA</v>
      </c>
      <c r="B1965" s="3" t="str">
        <f>"坤"</f>
        <v>坤</v>
      </c>
      <c r="C1965" s="3" t="str">
        <f>"晩唐十家絶句 / 館柳湾編 ; 乾・坤, 乾, 坤.-- 玉巌堂[ほか10軒]; 文化4(1807)年序刊."</f>
        <v>晩唐十家絶句 / 館柳湾編 ; 乾・坤, 乾, 坤.-- 玉巌堂[ほか10軒]; 文化4(1807)年序刊.</v>
      </c>
    </row>
    <row r="1966" spans="1:3" ht="11.25">
      <c r="A1966" s="3" t="str">
        <f>"921/26/1/MASAOKA"</f>
        <v>921/26/1/MASAOKA</v>
      </c>
      <c r="B1966" s="3" t="str">
        <f>"巻之1"</f>
        <v>巻之1</v>
      </c>
      <c r="C1966" s="3" t="str">
        <f>"楚辞 / 劉向編 ; 巻之1-3 - 巻之3.-- 前川六左衛門; 寛延3(1750)年序刊."</f>
        <v>楚辞 / 劉向編 ; 巻之1-3 - 巻之3.-- 前川六左衛門; 寛延3(1750)年序刊.</v>
      </c>
    </row>
    <row r="1967" spans="1:3" ht="11.25">
      <c r="A1967" s="3" t="str">
        <f>"921/26/2/MASAOKA"</f>
        <v>921/26/2/MASAOKA</v>
      </c>
      <c r="B1967" s="3" t="str">
        <f>"巻之2"</f>
        <v>巻之2</v>
      </c>
      <c r="C1967" s="3" t="str">
        <f>"楚辞 / 劉向編 ; 巻之1-3 - 巻之3.-- 前川六左衛門; 寛延3(1750)年序刊."</f>
        <v>楚辞 / 劉向編 ; 巻之1-3 - 巻之3.-- 前川六左衛門; 寛延3(1750)年序刊.</v>
      </c>
    </row>
    <row r="1968" spans="1:3" ht="11.25">
      <c r="A1968" s="3" t="str">
        <f>"921/26/3/MASAOKA"</f>
        <v>921/26/3/MASAOKA</v>
      </c>
      <c r="B1968" s="3" t="str">
        <f>"巻之3"</f>
        <v>巻之3</v>
      </c>
      <c r="C1968" s="3" t="str">
        <f>"楚辞 / 劉向編 ; 巻之1-3 - 巻之3.-- 前川六左衛門; 寛延3(1750)年序刊."</f>
        <v>楚辞 / 劉向編 ; 巻之1-3 - 巻之3.-- 前川六左衛門; 寛延3(1750)年序刊.</v>
      </c>
    </row>
    <row r="1969" spans="1:3" ht="11.25">
      <c r="A1969" s="3" t="str">
        <f>"921/29//MASAOKA"</f>
        <v>921/29//MASAOKA</v>
      </c>
      <c r="B1969" s="3" t="str">
        <f>"1~3"</f>
        <v>1~3</v>
      </c>
      <c r="C1969" s="3" t="str">
        <f>"三体詩 / 周弼[編] ; 1~3.-- 英文蔵; 天保12(1841)年刊."</f>
        <v>三体詩 / 周弼[編] ; 1~3.-- 英文蔵; 天保12(1841)年刊.</v>
      </c>
    </row>
    <row r="1970" spans="1:3" ht="11.25">
      <c r="A1970" s="3" t="str">
        <f>"921/30/1/MASAOKA"</f>
        <v>921/30/1/MASAOKA</v>
      </c>
      <c r="B1970" s="3" t="str">
        <f>"巻1-2"</f>
        <v>巻1-2</v>
      </c>
      <c r="C1970" s="3" t="str">
        <f>"樊南文集詳註 / 李義山著 憑浩撰 ; 巻1-8 - 巻7-8.-- 恵聚堂; 同治7(1868)年12月跋刊."</f>
        <v>樊南文集詳註 / 李義山著 憑浩撰 ; 巻1-8 - 巻7-8.-- 恵聚堂; 同治7(1868)年12月跋刊.</v>
      </c>
    </row>
    <row r="1971" spans="1:3" ht="11.25">
      <c r="A1971" s="3" t="str">
        <f>"921/30/2/MASAOKA"</f>
        <v>921/30/2/MASAOKA</v>
      </c>
      <c r="B1971" s="3" t="str">
        <f>"巻3-4"</f>
        <v>巻3-4</v>
      </c>
      <c r="C1971" s="3" t="str">
        <f>"樊南文集詳註 / 李義山著 憑浩撰 ; 巻1-8 - 巻7-8.-- 恵聚堂; 同治7(1868)年12月跋刊."</f>
        <v>樊南文集詳註 / 李義山著 憑浩撰 ; 巻1-8 - 巻7-8.-- 恵聚堂; 同治7(1868)年12月跋刊.</v>
      </c>
    </row>
    <row r="1972" spans="1:3" ht="11.25">
      <c r="A1972" s="3" t="str">
        <f>"921/30/3/MASAOKA"</f>
        <v>921/30/3/MASAOKA</v>
      </c>
      <c r="B1972" s="3" t="str">
        <f>"巻5-6"</f>
        <v>巻5-6</v>
      </c>
      <c r="C1972" s="3" t="str">
        <f>"樊南文集詳註 / 李義山著 憑浩撰 ; 巻1-8 - 巻7-8.-- 恵聚堂; 同治7(1868)年12月跋刊."</f>
        <v>樊南文集詳註 / 李義山著 憑浩撰 ; 巻1-8 - 巻7-8.-- 恵聚堂; 同治7(1868)年12月跋刊.</v>
      </c>
    </row>
    <row r="1973" spans="1:3" ht="11.25">
      <c r="A1973" s="3" t="str">
        <f>"921/30/4/MASAOKA"</f>
        <v>921/30/4/MASAOKA</v>
      </c>
      <c r="B1973" s="3" t="str">
        <f>"巻7-8"</f>
        <v>巻7-8</v>
      </c>
      <c r="C1973" s="3" t="str">
        <f>"樊南文集詳註 / 李義山著 憑浩撰 ; 巻1-8 - 巻7-8.-- 恵聚堂; 同治7(1868)年12月跋刊."</f>
        <v>樊南文集詳註 / 李義山著 憑浩撰 ; 巻1-8 - 巻7-8.-- 恵聚堂; 同治7(1868)年12月跋刊.</v>
      </c>
    </row>
    <row r="1974" spans="1:3" ht="11.25">
      <c r="A1974" s="3" t="str">
        <f>"921/31/1/MASAOKA"</f>
        <v>921/31/1/MASAOKA</v>
      </c>
      <c r="B1974" s="3" t="str">
        <f>"正: 巻之1-2"</f>
        <v>正: 巻之1-2</v>
      </c>
      <c r="C1974" s="3" t="str">
        <f aca="true" t="shared" si="42" ref="C1974:C1979">"文章軌範評林 / 謝枋得批選 李廷機評訓 伊東亀年 ; 正 巻之1-巻之2 - 続: 巻之5-7.-- 鹿児島県; 明治9(1876)年5月刊."</f>
        <v>文章軌範評林 / 謝枋得批選 李廷機評訓 伊東亀年 ; 正 巻之1-巻之2 - 続: 巻之5-7.-- 鹿児島県; 明治9(1876)年5月刊.</v>
      </c>
    </row>
    <row r="1975" spans="1:3" ht="11.25">
      <c r="A1975" s="3" t="str">
        <f>"921/31/2/MASAOKA"</f>
        <v>921/31/2/MASAOKA</v>
      </c>
      <c r="B1975" s="3" t="str">
        <f>"正: 巻之3-4"</f>
        <v>正: 巻之3-4</v>
      </c>
      <c r="C1975" s="3" t="str">
        <f t="shared" si="42"/>
        <v>文章軌範評林 / 謝枋得批選 李廷機評訓 伊東亀年 ; 正 巻之1-巻之2 - 続: 巻之5-7.-- 鹿児島県; 明治9(1876)年5月刊.</v>
      </c>
    </row>
    <row r="1976" spans="1:3" ht="11.25">
      <c r="A1976" s="3" t="str">
        <f>"921/31/3/MASAOKA"</f>
        <v>921/31/3/MASAOKA</v>
      </c>
      <c r="B1976" s="3" t="str">
        <f>"正: 巻之5-7"</f>
        <v>正: 巻之5-7</v>
      </c>
      <c r="C1976" s="3" t="str">
        <f t="shared" si="42"/>
        <v>文章軌範評林 / 謝枋得批選 李廷機評訓 伊東亀年 ; 正 巻之1-巻之2 - 続: 巻之5-7.-- 鹿児島県; 明治9(1876)年5月刊.</v>
      </c>
    </row>
    <row r="1977" spans="1:3" ht="11.25">
      <c r="A1977" s="3" t="str">
        <f>"921/32/2/MASAOKA"</f>
        <v>921/32/2/MASAOKA</v>
      </c>
      <c r="B1977" s="3" t="str">
        <f>"続: 巻之3-4"</f>
        <v>続: 巻之3-4</v>
      </c>
      <c r="C1977" s="3" t="str">
        <f t="shared" si="42"/>
        <v>文章軌範評林 / 謝枋得批選 李廷機評訓 伊東亀年 ; 正 巻之1-巻之2 - 続: 巻之5-7.-- 鹿児島県; 明治9(1876)年5月刊.</v>
      </c>
    </row>
    <row r="1978" spans="1:3" ht="11.25">
      <c r="A1978" s="3" t="str">
        <f>"921/32/2a/MASAOKA"</f>
        <v>921/32/2a/MASAOKA</v>
      </c>
      <c r="B1978" s="3" t="str">
        <f>"続: 巻之3-4"</f>
        <v>続: 巻之3-4</v>
      </c>
      <c r="C1978" s="3" t="str">
        <f t="shared" si="42"/>
        <v>文章軌範評林 / 謝枋得批選 李廷機評訓 伊東亀年 ; 正 巻之1-巻之2 - 続: 巻之5-7.-- 鹿児島県; 明治9(1876)年5月刊.</v>
      </c>
    </row>
    <row r="1979" spans="1:3" ht="11.25">
      <c r="A1979" s="3" t="str">
        <f>"921/32/3/MASAOKA"</f>
        <v>921/32/3/MASAOKA</v>
      </c>
      <c r="B1979" s="3" t="str">
        <f>"続: 巻之5-7"</f>
        <v>続: 巻之5-7</v>
      </c>
      <c r="C1979" s="3" t="str">
        <f t="shared" si="42"/>
        <v>文章軌範評林 / 謝枋得批選 李廷機評訓 伊東亀年 ; 正 巻之1-巻之2 - 続: 巻之5-7.-- 鹿児島県; 明治9(1876)年5月刊.</v>
      </c>
    </row>
    <row r="1980" spans="1:3" ht="11.25">
      <c r="A1980" s="3" t="str">
        <f>"921/33/1/MASAOKA"</f>
        <v>921/33/1/MASAOKA</v>
      </c>
      <c r="B1980" s="3" t="str">
        <f>"前集上・中・下"</f>
        <v>前集上・中・下</v>
      </c>
      <c r="C1980" s="3" t="str">
        <f>"古文真宝 / 黄堅編 ; 前集上・中・下.-- 秋田屋太右衛門[ほか2軒]; 文化2(1805)年10月補刻."</f>
        <v>古文真宝 / 黄堅編 ; 前集上・中・下.-- 秋田屋太右衛門[ほか2軒]; 文化2(1805)年10月補刻.</v>
      </c>
    </row>
    <row r="1981" spans="1:3" ht="11.25">
      <c r="A1981" s="3" t="str">
        <f>"921/33/2/MASAOKA"</f>
        <v>921/33/2/MASAOKA</v>
      </c>
      <c r="B1981" s="3" t="str">
        <f>"後集乾"</f>
        <v>後集乾</v>
      </c>
      <c r="C1981" s="3" t="str">
        <f>"古文真宝 : 魁本大字 / 黄堅編 ; 後集乾・坤, 後集乾, 後集坤.-- 天保補刻.-- 河内屋茂兵衛; [天保期]."</f>
        <v>古文真宝 : 魁本大字 / 黄堅編 ; 後集乾・坤, 後集乾, 後集坤.-- 天保補刻.-- 河内屋茂兵衛; [天保期].</v>
      </c>
    </row>
    <row r="1982" spans="1:3" ht="11.25">
      <c r="A1982" s="3" t="str">
        <f>"921/33/2a/MASAOKA"</f>
        <v>921/33/2a/MASAOKA</v>
      </c>
      <c r="B1982" s="3" t="str">
        <f>"後集1-4"</f>
        <v>後集1-4</v>
      </c>
      <c r="C1982" s="3" t="str">
        <f>"古文真宝 / 黄堅編 ; 後集1-4.-- [出版者不明]; [出版年不明]."</f>
        <v>古文真宝 / 黄堅編 ; 後集1-4.-- [出版者不明]; [出版年不明].</v>
      </c>
    </row>
    <row r="1983" spans="1:3" ht="11.25">
      <c r="A1983" s="3" t="str">
        <f>"921/33/3/MASAOKA"</f>
        <v>921/33/3/MASAOKA</v>
      </c>
      <c r="B1983" s="3" t="str">
        <f>"後集坤"</f>
        <v>後集坤</v>
      </c>
      <c r="C1983" s="3" t="str">
        <f>"古文真宝 : 魁本大字 / 黄堅編 ; 後集乾・坤, 後集乾, 後集坤.-- 天保補刻.-- 河内屋茂兵衛; [天保期]."</f>
        <v>古文真宝 : 魁本大字 / 黄堅編 ; 後集乾・坤, 後集乾, 後集坤.-- 天保補刻.-- 河内屋茂兵衛; [天保期].</v>
      </c>
    </row>
    <row r="1984" spans="1:3" ht="11.25">
      <c r="A1984" s="3" t="str">
        <f>"921/35//MASAOKA"</f>
        <v>921/35//MASAOKA</v>
      </c>
      <c r="B1984" s="3">
        <f>""</f>
      </c>
      <c r="C1984" s="3" t="str">
        <f>"漁洋詩話 / 王阮亭著.-- 大文字屋正助[ほか4軒]; 天保4(1833)年刊."</f>
        <v>漁洋詩話 / 王阮亭著.-- 大文字屋正助[ほか4軒]; 天保4(1833)年刊.</v>
      </c>
    </row>
    <row r="1985" spans="1:3" ht="11.25">
      <c r="A1985" s="3" t="str">
        <f>"921/36/1/MASAOKA"</f>
        <v>921/36/1/MASAOKA</v>
      </c>
      <c r="B1985" s="3" t="str">
        <f>"上"</f>
        <v>上</v>
      </c>
      <c r="C1985" s="3" t="str">
        <f>"冷斎詩話 / 恵洪 ; 上・下, 上, 下.-- 須原屋伊八; 寛文6(1666)年."</f>
        <v>冷斎詩話 / 恵洪 ; 上・下, 上, 下.-- 須原屋伊八; 寛文6(1666)年.</v>
      </c>
    </row>
    <row r="1986" spans="1:3" ht="11.25">
      <c r="A1986" s="3" t="str">
        <f>"921/36/2/MASAOKA"</f>
        <v>921/36/2/MASAOKA</v>
      </c>
      <c r="B1986" s="3" t="str">
        <f>"下"</f>
        <v>下</v>
      </c>
      <c r="C1986" s="3" t="str">
        <f>"冷斎詩話 / 恵洪 ; 上・下, 上, 下.-- 須原屋伊八; 寛文6(1666)年."</f>
        <v>冷斎詩話 / 恵洪 ; 上・下, 上, 下.-- 須原屋伊八; 寛文6(1666)年.</v>
      </c>
    </row>
    <row r="1987" spans="1:3" ht="11.25">
      <c r="A1987" s="3" t="str">
        <f>"921/37/1/MASAOKA"</f>
        <v>921/37/1/MASAOKA</v>
      </c>
      <c r="B1987" s="3" t="str">
        <f>"巻1-2"</f>
        <v>巻1-2</v>
      </c>
      <c r="C1987" s="3" t="str">
        <f>"[コウ]華館詩録 / 王韜 ; 巻1-5, 巻1-2, 巻3-5.-- [出版者不明]; 光緒6(1880)年5月刊."</f>
        <v>[コウ]華館詩録 / 王韜 ; 巻1-5, 巻1-2, 巻3-5.-- [出版者不明]; 光緒6(1880)年5月刊.</v>
      </c>
    </row>
    <row r="1988" spans="1:3" ht="11.25">
      <c r="A1988" s="3" t="str">
        <f>"921/37/2/MASAOKA"</f>
        <v>921/37/2/MASAOKA</v>
      </c>
      <c r="B1988" s="3" t="str">
        <f>"巻3-5"</f>
        <v>巻3-5</v>
      </c>
      <c r="C1988" s="3" t="str">
        <f>"[コウ]華館詩録 / 王韜 ; 巻1-5, 巻1-2, 巻3-5.-- [出版者不明]; 光緒6(1880)年5月刊."</f>
        <v>[コウ]華館詩録 / 王韜 ; 巻1-5, 巻1-2, 巻3-5.-- [出版者不明]; 光緒6(1880)年5月刊.</v>
      </c>
    </row>
    <row r="1989" spans="1:3" ht="11.25">
      <c r="A1989" s="3" t="str">
        <f>"921/38/2-1/MASAOKA"</f>
        <v>921/38/2-1/MASAOKA</v>
      </c>
      <c r="B1989" s="3" t="str">
        <f>"下之上"</f>
        <v>下之上</v>
      </c>
      <c r="C1989" s="3" t="str">
        <f>"歴代名媛詩文 / 久保田梁山編 ; 下之上・下之下, 下之上, 下之下.-- 内田弥兵衛; 明治1(1878)年6月."</f>
        <v>歴代名媛詩文 / 久保田梁山編 ; 下之上・下之下, 下之上, 下之下.-- 内田弥兵衛; 明治1(1878)年6月.</v>
      </c>
    </row>
    <row r="1990" spans="1:3" ht="11.25">
      <c r="A1990" s="3" t="str">
        <f>"921/38/2-2/MASAOKA"</f>
        <v>921/38/2-2/MASAOKA</v>
      </c>
      <c r="B1990" s="3" t="str">
        <f>"下之下"</f>
        <v>下之下</v>
      </c>
      <c r="C1990" s="3" t="str">
        <f>"歴代名媛詩文 / 久保田梁山編 ; 下之上・下之下, 下之上, 下之下.-- 内田弥兵衛; 明治1(1878)年6月."</f>
        <v>歴代名媛詩文 / 久保田梁山編 ; 下之上・下之下, 下之上, 下之下.-- 内田弥兵衛; 明治1(1878)年6月.</v>
      </c>
    </row>
    <row r="1991" spans="1:3" ht="11.25">
      <c r="A1991" s="3" t="str">
        <f>"921/39/1/MASAOKA"</f>
        <v>921/39/1/MASAOKA</v>
      </c>
      <c r="B1991" s="3" t="str">
        <f>"1巻"</f>
        <v>1巻</v>
      </c>
      <c r="C1991" s="3" t="str">
        <f aca="true" t="shared" si="43" ref="C1991:C2000">"評苑文選傍訓大全 / 昭明太子蕭統編 ; 1-10 - 10巻.-- 崇道堂; 元禄11(1698)年9月刊."</f>
        <v>評苑文選傍訓大全 / 昭明太子蕭統編 ; 1-10 - 10巻.-- 崇道堂; 元禄11(1698)年9月刊.</v>
      </c>
    </row>
    <row r="1992" spans="1:3" ht="11.25">
      <c r="A1992" s="3" t="str">
        <f>"921/39/2/MASAOKA"</f>
        <v>921/39/2/MASAOKA</v>
      </c>
      <c r="B1992" s="3" t="str">
        <f>"2巻"</f>
        <v>2巻</v>
      </c>
      <c r="C1992" s="3" t="str">
        <f t="shared" si="43"/>
        <v>評苑文選傍訓大全 / 昭明太子蕭統編 ; 1-10 - 10巻.-- 崇道堂; 元禄11(1698)年9月刊.</v>
      </c>
    </row>
    <row r="1993" spans="1:3" ht="11.25">
      <c r="A1993" s="3" t="str">
        <f>"921/39/3/MASAOKA"</f>
        <v>921/39/3/MASAOKA</v>
      </c>
      <c r="B1993" s="3" t="str">
        <f>"3巻"</f>
        <v>3巻</v>
      </c>
      <c r="C1993" s="3" t="str">
        <f t="shared" si="43"/>
        <v>評苑文選傍訓大全 / 昭明太子蕭統編 ; 1-10 - 10巻.-- 崇道堂; 元禄11(1698)年9月刊.</v>
      </c>
    </row>
    <row r="1994" spans="1:3" ht="11.25">
      <c r="A1994" s="3" t="str">
        <f>"921/39/4/MASAOKA"</f>
        <v>921/39/4/MASAOKA</v>
      </c>
      <c r="B1994" s="3" t="str">
        <f>"4巻"</f>
        <v>4巻</v>
      </c>
      <c r="C1994" s="3" t="str">
        <f t="shared" si="43"/>
        <v>評苑文選傍訓大全 / 昭明太子蕭統編 ; 1-10 - 10巻.-- 崇道堂; 元禄11(1698)年9月刊.</v>
      </c>
    </row>
    <row r="1995" spans="1:3" ht="11.25">
      <c r="A1995" s="3" t="str">
        <f>"921/39/5/MASAOKA"</f>
        <v>921/39/5/MASAOKA</v>
      </c>
      <c r="B1995" s="3" t="str">
        <f>"5巻"</f>
        <v>5巻</v>
      </c>
      <c r="C1995" s="3" t="str">
        <f t="shared" si="43"/>
        <v>評苑文選傍訓大全 / 昭明太子蕭統編 ; 1-10 - 10巻.-- 崇道堂; 元禄11(1698)年9月刊.</v>
      </c>
    </row>
    <row r="1996" spans="1:3" ht="11.25">
      <c r="A1996" s="3" t="str">
        <f>"921/39/6/MASAOKA"</f>
        <v>921/39/6/MASAOKA</v>
      </c>
      <c r="B1996" s="3" t="str">
        <f>"6巻"</f>
        <v>6巻</v>
      </c>
      <c r="C1996" s="3" t="str">
        <f t="shared" si="43"/>
        <v>評苑文選傍訓大全 / 昭明太子蕭統編 ; 1-10 - 10巻.-- 崇道堂; 元禄11(1698)年9月刊.</v>
      </c>
    </row>
    <row r="1997" spans="1:3" ht="11.25">
      <c r="A1997" s="3" t="str">
        <f>"921/39/7/MASAOKA"</f>
        <v>921/39/7/MASAOKA</v>
      </c>
      <c r="B1997" s="3" t="str">
        <f>"7巻"</f>
        <v>7巻</v>
      </c>
      <c r="C1997" s="3" t="str">
        <f t="shared" si="43"/>
        <v>評苑文選傍訓大全 / 昭明太子蕭統編 ; 1-10 - 10巻.-- 崇道堂; 元禄11(1698)年9月刊.</v>
      </c>
    </row>
    <row r="1998" spans="1:3" ht="11.25">
      <c r="A1998" s="3" t="str">
        <f>"921/39/8/MASAOKA"</f>
        <v>921/39/8/MASAOKA</v>
      </c>
      <c r="B1998" s="3" t="str">
        <f>"8巻"</f>
        <v>8巻</v>
      </c>
      <c r="C1998" s="3" t="str">
        <f t="shared" si="43"/>
        <v>評苑文選傍訓大全 / 昭明太子蕭統編 ; 1-10 - 10巻.-- 崇道堂; 元禄11(1698)年9月刊.</v>
      </c>
    </row>
    <row r="1999" spans="1:3" ht="11.25">
      <c r="A1999" s="3" t="str">
        <f>"921/39/9/MASAOKA"</f>
        <v>921/39/9/MASAOKA</v>
      </c>
      <c r="B1999" s="3" t="str">
        <f>"9巻"</f>
        <v>9巻</v>
      </c>
      <c r="C1999" s="3" t="str">
        <f t="shared" si="43"/>
        <v>評苑文選傍訓大全 / 昭明太子蕭統編 ; 1-10 - 10巻.-- 崇道堂; 元禄11(1698)年9月刊.</v>
      </c>
    </row>
    <row r="2000" spans="1:3" ht="11.25">
      <c r="A2000" s="3" t="str">
        <f>"921/39/10/MASAOKA"</f>
        <v>921/39/10/MASAOKA</v>
      </c>
      <c r="B2000" s="3" t="str">
        <f>"10巻"</f>
        <v>10巻</v>
      </c>
      <c r="C2000" s="3" t="str">
        <f t="shared" si="43"/>
        <v>評苑文選傍訓大全 / 昭明太子蕭統編 ; 1-10 - 10巻.-- 崇道堂; 元禄11(1698)年9月刊.</v>
      </c>
    </row>
    <row r="2001" spans="1:3" ht="11.25">
      <c r="A2001" s="3" t="str">
        <f>"921/4/1/MASAOKA"</f>
        <v>921/4/1/MASAOKA</v>
      </c>
      <c r="B2001" s="3" t="str">
        <f>"天"</f>
        <v>天</v>
      </c>
      <c r="C2001" s="3" t="str">
        <f>"陶淵明集 / 陶潜淵明[著] 近藤元粹純叔評訂 ; 天・地・玄・黄 - 天.-- 青木嵩山堂; 明治27(1894)年5月."</f>
        <v>陶淵明集 / 陶潜淵明[著] 近藤元粹純叔評訂 ; 天・地・玄・黄 - 天.-- 青木嵩山堂; 明治27(1894)年5月.</v>
      </c>
    </row>
    <row r="2002" spans="1:3" ht="11.25">
      <c r="A2002" s="3" t="str">
        <f>"921/4/2/MASAOKA"</f>
        <v>921/4/2/MASAOKA</v>
      </c>
      <c r="B2002" s="3" t="str">
        <f>"地"</f>
        <v>地</v>
      </c>
      <c r="C2002" s="3" t="str">
        <f>"陶淵明集 / 陶潜淵明[著] 近藤元粹純叔評訂 ; 天・地・玄・黄 - 天.-- 青木嵩山堂; 明治27(1894)年5月."</f>
        <v>陶淵明集 / 陶潜淵明[著] 近藤元粹純叔評訂 ; 天・地・玄・黄 - 天.-- 青木嵩山堂; 明治27(1894)年5月.</v>
      </c>
    </row>
    <row r="2003" spans="1:3" ht="11.25">
      <c r="A2003" s="3" t="str">
        <f>"921/4/3/MASAOKA"</f>
        <v>921/4/3/MASAOKA</v>
      </c>
      <c r="B2003" s="3" t="str">
        <f>"玄"</f>
        <v>玄</v>
      </c>
      <c r="C2003" s="3" t="str">
        <f>"陶淵明集 / 陶潜淵明[著] 近藤元粹純叔評訂 ; 天・地・玄・黄 - 天.-- 青木嵩山堂; 明治27(1894)年5月."</f>
        <v>陶淵明集 / 陶潜淵明[著] 近藤元粹純叔評訂 ; 天・地・玄・黄 - 天.-- 青木嵩山堂; 明治27(1894)年5月.</v>
      </c>
    </row>
    <row r="2004" spans="1:3" ht="11.25">
      <c r="A2004" s="3" t="str">
        <f>"921/4/4/MASAOKA"</f>
        <v>921/4/4/MASAOKA</v>
      </c>
      <c r="B2004" s="3" t="str">
        <f>"黄"</f>
        <v>黄</v>
      </c>
      <c r="C2004" s="3" t="str">
        <f>"陶淵明集 / 陶潜淵明[著] 近藤元粹純叔評訂 ; 天・地・玄・黄 - 天.-- 青木嵩山堂; 明治27(1894)年5月."</f>
        <v>陶淵明集 / 陶潜淵明[著] 近藤元粹純叔評訂 ; 天・地・玄・黄 - 天.-- 青木嵩山堂; 明治27(1894)年5月.</v>
      </c>
    </row>
    <row r="2005" spans="1:3" ht="11.25">
      <c r="A2005" s="3" t="str">
        <f>"921/41/1/MASAOKA"</f>
        <v>921/41/1/MASAOKA</v>
      </c>
      <c r="B2005" s="3" t="str">
        <f>"乾"</f>
        <v>乾</v>
      </c>
      <c r="C2005" s="3" t="str">
        <f>"歴朝名媛尺牘 / 大岡譲訓点 陣韶編輯 ; 乾・坤, 乾, 坤.-- 関原利助; 明治11(1878)年9月."</f>
        <v>歴朝名媛尺牘 / 大岡譲訓点 陣韶編輯 ; 乾・坤, 乾, 坤.-- 関原利助; 明治11(1878)年9月.</v>
      </c>
    </row>
    <row r="2006" spans="1:3" ht="11.25">
      <c r="A2006" s="3" t="str">
        <f>"921/41/2/MASAOKA"</f>
        <v>921/41/2/MASAOKA</v>
      </c>
      <c r="B2006" s="3" t="str">
        <f>"坤"</f>
        <v>坤</v>
      </c>
      <c r="C2006" s="3" t="str">
        <f>"歴朝名媛尺牘 / 大岡譲訓点 陣韶編輯 ; 乾・坤, 乾, 坤.-- 関原利助; 明治11(1878)年9月."</f>
        <v>歴朝名媛尺牘 / 大岡譲訓点 陣韶編輯 ; 乾・坤, 乾, 坤.-- 関原利助; 明治11(1878)年9月.</v>
      </c>
    </row>
    <row r="2007" spans="1:3" ht="11.25">
      <c r="A2007" s="3" t="str">
        <f>"921/43//MASAOKA"</f>
        <v>921/43//MASAOKA</v>
      </c>
      <c r="B2007" s="3">
        <f>""</f>
      </c>
      <c r="C2007" s="3" t="str">
        <f>"香奩集 / 韓内翰.-- 星雲堂英文蔵; 文化8(1811)年刊."</f>
        <v>香奩集 / 韓内翰.-- 星雲堂英文蔵; 文化8(1811)年刊.</v>
      </c>
    </row>
    <row r="2008" spans="1:3" ht="11.25">
      <c r="A2008" s="3" t="str">
        <f>"921/44/1/MASAOKA"</f>
        <v>921/44/1/MASAOKA</v>
      </c>
      <c r="B2008" s="3" t="str">
        <f>"上"</f>
        <v>上</v>
      </c>
      <c r="C2008" s="3" t="str">
        <f>"古詩韻範 / 武元登々庵著 ; 上・中, 上, 中.-- 文永堂; [明治版]."</f>
        <v>古詩韻範 / 武元登々庵著 ; 上・中, 上, 中.-- 文永堂; [明治版].</v>
      </c>
    </row>
    <row r="2009" spans="1:3" ht="11.25">
      <c r="A2009" s="3" t="str">
        <f>"921/44/2/MASAOKA"</f>
        <v>921/44/2/MASAOKA</v>
      </c>
      <c r="B2009" s="3" t="str">
        <f>"中"</f>
        <v>中</v>
      </c>
      <c r="C2009" s="3" t="str">
        <f>"古詩韻範 / 武元登々庵著 ; 上・中, 上, 中.-- 文永堂; [明治版]."</f>
        <v>古詩韻範 / 武元登々庵著 ; 上・中, 上, 中.-- 文永堂; [明治版].</v>
      </c>
    </row>
    <row r="2010" spans="1:3" ht="11.25">
      <c r="A2010" s="3" t="str">
        <f>"921/5/1/MASAOKA"</f>
        <v>921/5/1/MASAOKA</v>
      </c>
      <c r="B2010" s="3" t="str">
        <f>"乾"</f>
        <v>乾</v>
      </c>
      <c r="C2010" s="3" t="str">
        <f>"山谷詩集 / 黄庭堅 ; 乾・下, 乾, 下.-- 風月宗知; 寛永12(1635)年6月."</f>
        <v>山谷詩集 / 黄庭堅 ; 乾・下, 乾, 下.-- 風月宗知; 寛永12(1635)年6月.</v>
      </c>
    </row>
    <row r="2011" spans="1:3" ht="11.25">
      <c r="A2011" s="3" t="str">
        <f>"921/5/2/MASAOKA"</f>
        <v>921/5/2/MASAOKA</v>
      </c>
      <c r="B2011" s="3" t="str">
        <f>"下"</f>
        <v>下</v>
      </c>
      <c r="C2011" s="3" t="str">
        <f>"山谷詩集 / 黄庭堅 ; 乾・下, 乾, 下.-- 風月宗知; 寛永12(1635)年6月."</f>
        <v>山谷詩集 / 黄庭堅 ; 乾・下, 乾, 下.-- 風月宗知; 寛永12(1635)年6月.</v>
      </c>
    </row>
    <row r="2012" spans="1:3" ht="11.25">
      <c r="A2012" s="3" t="str">
        <f>"921/6/1/MASAOKA"</f>
        <v>921/6/1/MASAOKA</v>
      </c>
      <c r="B2012" s="3" t="str">
        <f>"1"</f>
        <v>1</v>
      </c>
      <c r="C2012" s="3" t="str">
        <f>"高青邱詩醇 / 高青邱著 斎藤拙堂撰 ; 1-4 - 4.-- [出版者不明]; 嘉永3(1850)年."</f>
        <v>高青邱詩醇 / 高青邱著 斎藤拙堂撰 ; 1-4 - 4.-- [出版者不明]; 嘉永3(1850)年.</v>
      </c>
    </row>
    <row r="2013" spans="1:3" ht="11.25">
      <c r="A2013" s="3" t="str">
        <f>"921/6/2/MASAOKA"</f>
        <v>921/6/2/MASAOKA</v>
      </c>
      <c r="B2013" s="3" t="str">
        <f>"2"</f>
        <v>2</v>
      </c>
      <c r="C2013" s="3" t="str">
        <f>"高青邱詩醇 / 高青邱著 斎藤拙堂撰 ; 1-4 - 4.-- [出版者不明]; 嘉永3(1850)年."</f>
        <v>高青邱詩醇 / 高青邱著 斎藤拙堂撰 ; 1-4 - 4.-- [出版者不明]; 嘉永3(1850)年.</v>
      </c>
    </row>
    <row r="2014" spans="1:3" ht="11.25">
      <c r="A2014" s="3" t="str">
        <f>"921/6/3/MASAOKA"</f>
        <v>921/6/3/MASAOKA</v>
      </c>
      <c r="B2014" s="3" t="str">
        <f>"3"</f>
        <v>3</v>
      </c>
      <c r="C2014" s="3" t="str">
        <f>"高青邱詩醇 / 高青邱著 斎藤拙堂撰 ; 1-4 - 4.-- [出版者不明]; 嘉永3(1850)年."</f>
        <v>高青邱詩醇 / 高青邱著 斎藤拙堂撰 ; 1-4 - 4.-- [出版者不明]; 嘉永3(1850)年.</v>
      </c>
    </row>
    <row r="2015" spans="1:3" ht="11.25">
      <c r="A2015" s="3" t="str">
        <f>"921/6/4/MASAOKA"</f>
        <v>921/6/4/MASAOKA</v>
      </c>
      <c r="B2015" s="3" t="str">
        <f>"4"</f>
        <v>4</v>
      </c>
      <c r="C2015" s="3" t="str">
        <f>"高青邱詩醇 / 高青邱著 斎藤拙堂撰 ; 1-4 - 4.-- [出版者不明]; 嘉永3(1850)年."</f>
        <v>高青邱詩醇 / 高青邱著 斎藤拙堂撰 ; 1-4 - 4.-- [出版者不明]; 嘉永3(1850)年.</v>
      </c>
    </row>
    <row r="2016" spans="1:3" ht="11.25">
      <c r="A2016" s="3" t="str">
        <f>"921/7//MASAOKA"</f>
        <v>921/7//MASAOKA</v>
      </c>
      <c r="B2016" s="3">
        <f>""</f>
      </c>
      <c r="C2016" s="3" t="str">
        <f>"元遺山詩選 / 元遺山著 竹添進一郎撰.-- 奎文堂; 明治16(1883)年3月刊."</f>
        <v>元遺山詩選 / 元遺山著 竹添進一郎撰.-- 奎文堂; 明治16(1883)年3月刊.</v>
      </c>
    </row>
    <row r="2017" spans="1:3" ht="11.25">
      <c r="A2017" s="3" t="str">
        <f>"921/8/1/MASAOKA"</f>
        <v>921/8/1/MASAOKA</v>
      </c>
      <c r="B2017" s="3" t="str">
        <f>"巻1~4"</f>
        <v>巻1~4</v>
      </c>
      <c r="C2017" s="3" t="str">
        <f>"頤素堂詩鈔 / 鉄郷[著] 徐達源撰 ; 巻1-8, 巻1~4, 巻5~8.-- [出版者不明]; 道光9(1829)年春分序."</f>
        <v>頤素堂詩鈔 / 鉄郷[著] 徐達源撰 ; 巻1-8, 巻1~4, 巻5~8.-- [出版者不明]; 道光9(1829)年春分序.</v>
      </c>
    </row>
    <row r="2018" spans="1:3" ht="11.25">
      <c r="A2018" s="3" t="str">
        <f>"921/8/2/MASAOKA"</f>
        <v>921/8/2/MASAOKA</v>
      </c>
      <c r="B2018" s="3" t="str">
        <f>"巻5~8"</f>
        <v>巻5~8</v>
      </c>
      <c r="C2018" s="3" t="str">
        <f>"頤素堂詩鈔 / 鉄郷[著] 徐達源撰 ; 巻1-8, 巻1~4, 巻5~8.-- [出版者不明]; 道光9(1829)年春分序."</f>
        <v>頤素堂詩鈔 / 鉄郷[著] 徐達源撰 ; 巻1-8, 巻1~4, 巻5~8.-- [出版者不明]; 道光9(1829)年春分序.</v>
      </c>
    </row>
    <row r="2019" spans="1:3" ht="11.25">
      <c r="A2019" s="3" t="str">
        <f>"921/9/1/MASAOKA"</f>
        <v>921/9/1/MASAOKA</v>
      </c>
      <c r="B2019" s="3" t="str">
        <f>"巻之1"</f>
        <v>巻之1</v>
      </c>
      <c r="C2019" s="3" t="str">
        <f aca="true" t="shared" si="44" ref="C2019:C2026">"重刊千家註杜詩全集 / [杜甫著] ; 巻之1-巻之20,杜工部文集巻之1-2 - 巻之18~19.-- [出版者不明]; 万暦9(1581)年重刊序."</f>
        <v>重刊千家註杜詩全集 / [杜甫著] ; 巻之1-巻之20,杜工部文集巻之1-2 - 巻之18~19.-- [出版者不明]; 万暦9(1581)年重刊序.</v>
      </c>
    </row>
    <row r="2020" spans="1:3" ht="11.25">
      <c r="A2020" s="3" t="str">
        <f>"921/9/2/MASAOKA"</f>
        <v>921/9/2/MASAOKA</v>
      </c>
      <c r="B2020" s="3" t="str">
        <f>"巻之2~4"</f>
        <v>巻之2~4</v>
      </c>
      <c r="C2020" s="3" t="str">
        <f t="shared" si="44"/>
        <v>重刊千家註杜詩全集 / [杜甫著] ; 巻之1-巻之20,杜工部文集巻之1-2 - 巻之18~19.-- [出版者不明]; 万暦9(1581)年重刊序.</v>
      </c>
    </row>
    <row r="2021" spans="1:3" ht="11.25">
      <c r="A2021" s="3" t="str">
        <f>"921/9/3/MASAOKA"</f>
        <v>921/9/3/MASAOKA</v>
      </c>
      <c r="B2021" s="3" t="str">
        <f>"巻之5~7"</f>
        <v>巻之5~7</v>
      </c>
      <c r="C2021" s="3" t="str">
        <f t="shared" si="44"/>
        <v>重刊千家註杜詩全集 / [杜甫著] ; 巻之1-巻之20,杜工部文集巻之1-2 - 巻之18~19.-- [出版者不明]; 万暦9(1581)年重刊序.</v>
      </c>
    </row>
    <row r="2022" spans="1:3" ht="11.25">
      <c r="A2022" s="3" t="str">
        <f>"921/9/4/MASAOKA"</f>
        <v>921/9/4/MASAOKA</v>
      </c>
      <c r="B2022" s="3" t="str">
        <f>"巻之8~10"</f>
        <v>巻之8~10</v>
      </c>
      <c r="C2022" s="3" t="str">
        <f t="shared" si="44"/>
        <v>重刊千家註杜詩全集 / [杜甫著] ; 巻之1-巻之20,杜工部文集巻之1-2 - 巻之18~19.-- [出版者不明]; 万暦9(1581)年重刊序.</v>
      </c>
    </row>
    <row r="2023" spans="1:3" ht="11.25">
      <c r="A2023" s="3" t="str">
        <f>"921/9/5/MASAOKA"</f>
        <v>921/9/5/MASAOKA</v>
      </c>
      <c r="B2023" s="3" t="str">
        <f>"巻之11~14"</f>
        <v>巻之11~14</v>
      </c>
      <c r="C2023" s="3" t="str">
        <f t="shared" si="44"/>
        <v>重刊千家註杜詩全集 / [杜甫著] ; 巻之1-巻之20,杜工部文集巻之1-2 - 巻之18~19.-- [出版者不明]; 万暦9(1581)年重刊序.</v>
      </c>
    </row>
    <row r="2024" spans="1:3" ht="11.25">
      <c r="A2024" s="3" t="str">
        <f>"921/9/6/MASAOKA"</f>
        <v>921/9/6/MASAOKA</v>
      </c>
      <c r="B2024" s="3" t="str">
        <f>"巻之15~17"</f>
        <v>巻之15~17</v>
      </c>
      <c r="C2024" s="3" t="str">
        <f t="shared" si="44"/>
        <v>重刊千家註杜詩全集 / [杜甫著] ; 巻之1-巻之20,杜工部文集巻之1-2 - 巻之18~19.-- [出版者不明]; 万暦9(1581)年重刊序.</v>
      </c>
    </row>
    <row r="2025" spans="1:3" ht="11.25">
      <c r="A2025" s="3" t="str">
        <f>"921/9/7/MASAOKA"</f>
        <v>921/9/7/MASAOKA</v>
      </c>
      <c r="B2025" s="3" t="str">
        <f>"巻之18~19"</f>
        <v>巻之18~19</v>
      </c>
      <c r="C2025" s="3" t="str">
        <f t="shared" si="44"/>
        <v>重刊千家註杜詩全集 / [杜甫著] ; 巻之1-巻之20,杜工部文集巻之1-2 - 巻之18~19.-- [出版者不明]; 万暦9(1581)年重刊序.</v>
      </c>
    </row>
    <row r="2026" spans="1:3" ht="11.25">
      <c r="A2026" s="3" t="str">
        <f>"921/9/8/MASAOKA"</f>
        <v>921/9/8/MASAOKA</v>
      </c>
      <c r="B2026" s="3" t="str">
        <f>"巻之20・杜工部文集巻之1~2"</f>
        <v>巻之20・杜工部文集巻之1~2</v>
      </c>
      <c r="C2026" s="3" t="str">
        <f t="shared" si="44"/>
        <v>重刊千家註杜詩全集 / [杜甫著] ; 巻之1-巻之20,杜工部文集巻之1-2 - 巻之18~19.-- [出版者不明]; 万暦9(1581)年重刊序.</v>
      </c>
    </row>
    <row r="2027" spans="1:3" ht="11.25">
      <c r="A2027" s="3" t="str">
        <f>"923/1/1/MASAOKA"</f>
        <v>923/1/1/MASAOKA</v>
      </c>
      <c r="B2027" s="3" t="str">
        <f>"巻1"</f>
        <v>巻1</v>
      </c>
      <c r="C2027" s="3" t="str">
        <f>"新刻四海棠 / [著者不明] ; 巻1-4 - 巻4.-- 成文堂; 光緒14(1888)年刊."</f>
        <v>新刻四海棠 / [著者不明] ; 巻1-4 - 巻4.-- 成文堂; 光緒14(1888)年刊.</v>
      </c>
    </row>
    <row r="2028" spans="1:3" ht="11.25">
      <c r="A2028" s="3" t="str">
        <f>"923/1/2/MASAOKA"</f>
        <v>923/1/2/MASAOKA</v>
      </c>
      <c r="B2028" s="3" t="str">
        <f>"巻2"</f>
        <v>巻2</v>
      </c>
      <c r="C2028" s="3" t="str">
        <f>"新刻四海棠 / [著者不明] ; 巻1-4 - 巻4.-- 成文堂; 光緒14(1888)年刊."</f>
        <v>新刻四海棠 / [著者不明] ; 巻1-4 - 巻4.-- 成文堂; 光緒14(1888)年刊.</v>
      </c>
    </row>
    <row r="2029" spans="1:3" ht="11.25">
      <c r="A2029" s="3" t="str">
        <f>"923/1/3/MASAOKA"</f>
        <v>923/1/3/MASAOKA</v>
      </c>
      <c r="B2029" s="3" t="str">
        <f>"巻3"</f>
        <v>巻3</v>
      </c>
      <c r="C2029" s="3" t="str">
        <f>"新刻四海棠 / [著者不明] ; 巻1-4 - 巻4.-- 成文堂; 光緒14(1888)年刊."</f>
        <v>新刻四海棠 / [著者不明] ; 巻1-4 - 巻4.-- 成文堂; 光緒14(1888)年刊.</v>
      </c>
    </row>
    <row r="2030" spans="1:3" ht="11.25">
      <c r="A2030" s="3" t="str">
        <f>"923/1/4/MASAOKA"</f>
        <v>923/1/4/MASAOKA</v>
      </c>
      <c r="B2030" s="3" t="str">
        <f>"巻4"</f>
        <v>巻4</v>
      </c>
      <c r="C2030" s="3" t="str">
        <f>"新刻四海棠 / [著者不明] ; 巻1-4 - 巻4.-- 成文堂; 光緒14(1888)年刊."</f>
        <v>新刻四海棠 / [著者不明] ; 巻1-4 - 巻4.-- 成文堂; 光緒14(1888)年刊.</v>
      </c>
    </row>
    <row r="2031" spans="1:3" ht="11.25">
      <c r="A2031" s="3" t="str">
        <f>"923/2/1/MASAOKA"</f>
        <v>923/2/1/MASAOKA</v>
      </c>
      <c r="B2031" s="3" t="str">
        <f>"巻1"</f>
        <v>巻1</v>
      </c>
      <c r="C2031" s="3" t="str">
        <f aca="true" t="shared" si="45" ref="C2031:C2050">"繍像第五才子書水滸伝 / [著者不明] ; 巻1-20 - 巻20.-- 緯文堂; 雍正12(1734)年序刊."</f>
        <v>繍像第五才子書水滸伝 / [著者不明] ; 巻1-20 - 巻20.-- 緯文堂; 雍正12(1734)年序刊.</v>
      </c>
    </row>
    <row r="2032" spans="1:3" ht="11.25">
      <c r="A2032" s="3" t="str">
        <f>"923/2/2/MASAOKA"</f>
        <v>923/2/2/MASAOKA</v>
      </c>
      <c r="B2032" s="3" t="str">
        <f>"巻2"</f>
        <v>巻2</v>
      </c>
      <c r="C2032" s="3" t="str">
        <f t="shared" si="45"/>
        <v>繍像第五才子書水滸伝 / [著者不明] ; 巻1-20 - 巻20.-- 緯文堂; 雍正12(1734)年序刊.</v>
      </c>
    </row>
    <row r="2033" spans="1:3" ht="11.25">
      <c r="A2033" s="3" t="str">
        <f>"923/2/3/MASAOKA"</f>
        <v>923/2/3/MASAOKA</v>
      </c>
      <c r="B2033" s="3" t="str">
        <f>"巻3"</f>
        <v>巻3</v>
      </c>
      <c r="C2033" s="3" t="str">
        <f t="shared" si="45"/>
        <v>繍像第五才子書水滸伝 / [著者不明] ; 巻1-20 - 巻20.-- 緯文堂; 雍正12(1734)年序刊.</v>
      </c>
    </row>
    <row r="2034" spans="1:3" ht="11.25">
      <c r="A2034" s="3" t="str">
        <f>"923/2/4/MASAOKA"</f>
        <v>923/2/4/MASAOKA</v>
      </c>
      <c r="B2034" s="3" t="str">
        <f>"巻4"</f>
        <v>巻4</v>
      </c>
      <c r="C2034" s="3" t="str">
        <f t="shared" si="45"/>
        <v>繍像第五才子書水滸伝 / [著者不明] ; 巻1-20 - 巻20.-- 緯文堂; 雍正12(1734)年序刊.</v>
      </c>
    </row>
    <row r="2035" spans="1:3" ht="11.25">
      <c r="A2035" s="3" t="str">
        <f>"923/2/5/MASAOKA"</f>
        <v>923/2/5/MASAOKA</v>
      </c>
      <c r="B2035" s="3" t="str">
        <f>"巻5"</f>
        <v>巻5</v>
      </c>
      <c r="C2035" s="3" t="str">
        <f t="shared" si="45"/>
        <v>繍像第五才子書水滸伝 / [著者不明] ; 巻1-20 - 巻20.-- 緯文堂; 雍正12(1734)年序刊.</v>
      </c>
    </row>
    <row r="2036" spans="1:3" ht="11.25">
      <c r="A2036" s="3" t="str">
        <f>"923/2/6/MASAOKA"</f>
        <v>923/2/6/MASAOKA</v>
      </c>
      <c r="B2036" s="3" t="str">
        <f>"巻6"</f>
        <v>巻6</v>
      </c>
      <c r="C2036" s="3" t="str">
        <f t="shared" si="45"/>
        <v>繍像第五才子書水滸伝 / [著者不明] ; 巻1-20 - 巻20.-- 緯文堂; 雍正12(1734)年序刊.</v>
      </c>
    </row>
    <row r="2037" spans="1:3" ht="11.25">
      <c r="A2037" s="3" t="str">
        <f>"923/2/7/MASAOKA"</f>
        <v>923/2/7/MASAOKA</v>
      </c>
      <c r="B2037" s="3" t="str">
        <f>"巻7"</f>
        <v>巻7</v>
      </c>
      <c r="C2037" s="3" t="str">
        <f t="shared" si="45"/>
        <v>繍像第五才子書水滸伝 / [著者不明] ; 巻1-20 - 巻20.-- 緯文堂; 雍正12(1734)年序刊.</v>
      </c>
    </row>
    <row r="2038" spans="1:3" ht="11.25">
      <c r="A2038" s="3" t="str">
        <f>"923/2/8/MASAOKA"</f>
        <v>923/2/8/MASAOKA</v>
      </c>
      <c r="B2038" s="3" t="str">
        <f>"巻8"</f>
        <v>巻8</v>
      </c>
      <c r="C2038" s="3" t="str">
        <f t="shared" si="45"/>
        <v>繍像第五才子書水滸伝 / [著者不明] ; 巻1-20 - 巻20.-- 緯文堂; 雍正12(1734)年序刊.</v>
      </c>
    </row>
    <row r="2039" spans="1:3" ht="11.25">
      <c r="A2039" s="3" t="str">
        <f>"923/2/9/MASAOKA"</f>
        <v>923/2/9/MASAOKA</v>
      </c>
      <c r="B2039" s="3" t="str">
        <f>"巻9"</f>
        <v>巻9</v>
      </c>
      <c r="C2039" s="3" t="str">
        <f t="shared" si="45"/>
        <v>繍像第五才子書水滸伝 / [著者不明] ; 巻1-20 - 巻20.-- 緯文堂; 雍正12(1734)年序刊.</v>
      </c>
    </row>
    <row r="2040" spans="1:3" ht="11.25">
      <c r="A2040" s="3" t="str">
        <f>"923/2/10/MASAOKA"</f>
        <v>923/2/10/MASAOKA</v>
      </c>
      <c r="B2040" s="3" t="str">
        <f>"巻10"</f>
        <v>巻10</v>
      </c>
      <c r="C2040" s="3" t="str">
        <f t="shared" si="45"/>
        <v>繍像第五才子書水滸伝 / [著者不明] ; 巻1-20 - 巻20.-- 緯文堂; 雍正12(1734)年序刊.</v>
      </c>
    </row>
    <row r="2041" spans="1:3" ht="11.25">
      <c r="A2041" s="3" t="str">
        <f>"923/2/11/MASAOKA"</f>
        <v>923/2/11/MASAOKA</v>
      </c>
      <c r="B2041" s="3" t="str">
        <f>"巻11"</f>
        <v>巻11</v>
      </c>
      <c r="C2041" s="3" t="str">
        <f t="shared" si="45"/>
        <v>繍像第五才子書水滸伝 / [著者不明] ; 巻1-20 - 巻20.-- 緯文堂; 雍正12(1734)年序刊.</v>
      </c>
    </row>
    <row r="2042" spans="1:3" ht="11.25">
      <c r="A2042" s="3" t="str">
        <f>"923/2/12/MASAOKA"</f>
        <v>923/2/12/MASAOKA</v>
      </c>
      <c r="B2042" s="3" t="str">
        <f>"巻12"</f>
        <v>巻12</v>
      </c>
      <c r="C2042" s="3" t="str">
        <f t="shared" si="45"/>
        <v>繍像第五才子書水滸伝 / [著者不明] ; 巻1-20 - 巻20.-- 緯文堂; 雍正12(1734)年序刊.</v>
      </c>
    </row>
    <row r="2043" spans="1:3" ht="11.25">
      <c r="A2043" s="3" t="str">
        <f>"923/2/13/MASAOKA"</f>
        <v>923/2/13/MASAOKA</v>
      </c>
      <c r="B2043" s="3" t="str">
        <f>"巻13"</f>
        <v>巻13</v>
      </c>
      <c r="C2043" s="3" t="str">
        <f t="shared" si="45"/>
        <v>繍像第五才子書水滸伝 / [著者不明] ; 巻1-20 - 巻20.-- 緯文堂; 雍正12(1734)年序刊.</v>
      </c>
    </row>
    <row r="2044" spans="1:3" ht="11.25">
      <c r="A2044" s="3" t="str">
        <f>"923/2/14/MASAOKA"</f>
        <v>923/2/14/MASAOKA</v>
      </c>
      <c r="B2044" s="3" t="str">
        <f>"巻14"</f>
        <v>巻14</v>
      </c>
      <c r="C2044" s="3" t="str">
        <f t="shared" si="45"/>
        <v>繍像第五才子書水滸伝 / [著者不明] ; 巻1-20 - 巻20.-- 緯文堂; 雍正12(1734)年序刊.</v>
      </c>
    </row>
    <row r="2045" spans="1:3" ht="11.25">
      <c r="A2045" s="3" t="str">
        <f>"923/2/15/MASAOKA"</f>
        <v>923/2/15/MASAOKA</v>
      </c>
      <c r="B2045" s="3" t="str">
        <f>"巻15"</f>
        <v>巻15</v>
      </c>
      <c r="C2045" s="3" t="str">
        <f t="shared" si="45"/>
        <v>繍像第五才子書水滸伝 / [著者不明] ; 巻1-20 - 巻20.-- 緯文堂; 雍正12(1734)年序刊.</v>
      </c>
    </row>
    <row r="2046" spans="1:3" ht="11.25">
      <c r="A2046" s="3" t="str">
        <f>"923/2/16/MASAOKA"</f>
        <v>923/2/16/MASAOKA</v>
      </c>
      <c r="B2046" s="3" t="str">
        <f>"巻16"</f>
        <v>巻16</v>
      </c>
      <c r="C2046" s="3" t="str">
        <f t="shared" si="45"/>
        <v>繍像第五才子書水滸伝 / [著者不明] ; 巻1-20 - 巻20.-- 緯文堂; 雍正12(1734)年序刊.</v>
      </c>
    </row>
    <row r="2047" spans="1:3" ht="11.25">
      <c r="A2047" s="3" t="str">
        <f>"923/2/17/MASAOKA"</f>
        <v>923/2/17/MASAOKA</v>
      </c>
      <c r="B2047" s="3" t="str">
        <f>"巻17"</f>
        <v>巻17</v>
      </c>
      <c r="C2047" s="3" t="str">
        <f t="shared" si="45"/>
        <v>繍像第五才子書水滸伝 / [著者不明] ; 巻1-20 - 巻20.-- 緯文堂; 雍正12(1734)年序刊.</v>
      </c>
    </row>
    <row r="2048" spans="1:3" ht="11.25">
      <c r="A2048" s="3" t="str">
        <f>"923/2/18/MASAOKA"</f>
        <v>923/2/18/MASAOKA</v>
      </c>
      <c r="B2048" s="3" t="str">
        <f>"巻18"</f>
        <v>巻18</v>
      </c>
      <c r="C2048" s="3" t="str">
        <f t="shared" si="45"/>
        <v>繍像第五才子書水滸伝 / [著者不明] ; 巻1-20 - 巻20.-- 緯文堂; 雍正12(1734)年序刊.</v>
      </c>
    </row>
    <row r="2049" spans="1:3" ht="11.25">
      <c r="A2049" s="3" t="str">
        <f>"923/2/19/MASAOKA"</f>
        <v>923/2/19/MASAOKA</v>
      </c>
      <c r="B2049" s="3" t="str">
        <f>"巻19"</f>
        <v>巻19</v>
      </c>
      <c r="C2049" s="3" t="str">
        <f t="shared" si="45"/>
        <v>繍像第五才子書水滸伝 / [著者不明] ; 巻1-20 - 巻20.-- 緯文堂; 雍正12(1734)年序刊.</v>
      </c>
    </row>
    <row r="2050" spans="1:3" ht="11.25">
      <c r="A2050" s="3" t="str">
        <f>"923/2/20/MASAOKA"</f>
        <v>923/2/20/MASAOKA</v>
      </c>
      <c r="B2050" s="3" t="str">
        <f>"巻20"</f>
        <v>巻20</v>
      </c>
      <c r="C2050" s="3" t="str">
        <f t="shared" si="45"/>
        <v>繍像第五才子書水滸伝 / [著者不明] ; 巻1-20 - 巻20.-- 緯文堂; 雍正12(1734)年序刊.</v>
      </c>
    </row>
    <row r="2051" spans="1:3" ht="11.25">
      <c r="A2051" s="3" t="str">
        <f>"923/6/1/MASAOKA"</f>
        <v>923/6/1/MASAOKA</v>
      </c>
      <c r="B2051" s="3" t="str">
        <f>"乾"</f>
        <v>乾</v>
      </c>
      <c r="C2051" s="3" t="str">
        <f>"首書挿画遊仙窟鈔 / 張文成作 ; 乾・坤, 乾, 坤.-- 忠雅堂; [出版年不明]."</f>
        <v>首書挿画遊仙窟鈔 / 張文成作 ; 乾・坤, 乾, 坤.-- 忠雅堂; [出版年不明].</v>
      </c>
    </row>
    <row r="2052" spans="1:3" ht="11.25">
      <c r="A2052" s="3" t="str">
        <f>"923/6/2/MASAOKA"</f>
        <v>923/6/2/MASAOKA</v>
      </c>
      <c r="B2052" s="3" t="str">
        <f>"坤"</f>
        <v>坤</v>
      </c>
      <c r="C2052" s="3" t="str">
        <f>"首書挿画遊仙窟鈔 / 張文成作 ; 乾・坤, 乾, 坤.-- 忠雅堂; [出版年不明]."</f>
        <v>首書挿画遊仙窟鈔 / 張文成作 ; 乾・坤, 乾, 坤.-- 忠雅堂; [出版年不明].</v>
      </c>
    </row>
    <row r="2053" spans="1:3" ht="11.25">
      <c r="A2053" s="3" t="str">
        <f>"923/7/1/MASAOKA"</f>
        <v>923/7/1/MASAOKA</v>
      </c>
      <c r="B2053" s="3" t="str">
        <f>"春"</f>
        <v>春</v>
      </c>
      <c r="C2053" s="3" t="str">
        <f>"肉蒲団 : 一名覚後禅 / 情隠編 倚翠楼主人訳 ; 春・夏・秋・冬 - 冬.-- 青心閣; 宝永2(1707)年刊."</f>
        <v>肉蒲団 : 一名覚後禅 / 情隠編 倚翠楼主人訳 ; 春・夏・秋・冬 - 冬.-- 青心閣; 宝永2(1707)年刊.</v>
      </c>
    </row>
    <row r="2054" spans="1:3" ht="11.25">
      <c r="A2054" s="3" t="str">
        <f>"923/7/2/MASAOKA"</f>
        <v>923/7/2/MASAOKA</v>
      </c>
      <c r="B2054" s="3" t="str">
        <f>"夏"</f>
        <v>夏</v>
      </c>
      <c r="C2054" s="3" t="str">
        <f>"肉蒲団 : 一名覚後禅 / 情隠編 倚翠楼主人訳 ; 春・夏・秋・冬 - 冬.-- 青心閣; 宝永2(1707)年刊."</f>
        <v>肉蒲団 : 一名覚後禅 / 情隠編 倚翠楼主人訳 ; 春・夏・秋・冬 - 冬.-- 青心閣; 宝永2(1707)年刊.</v>
      </c>
    </row>
    <row r="2055" spans="1:3" ht="11.25">
      <c r="A2055" s="3" t="str">
        <f>"923/7/3/MASAOKA"</f>
        <v>923/7/3/MASAOKA</v>
      </c>
      <c r="B2055" s="3" t="str">
        <f>"秋"</f>
        <v>秋</v>
      </c>
      <c r="C2055" s="3" t="str">
        <f>"肉蒲団 : 一名覚後禅 / 情隠編 倚翠楼主人訳 ; 春・夏・秋・冬 - 冬.-- 青心閣; 宝永2(1707)年刊."</f>
        <v>肉蒲団 : 一名覚後禅 / 情隠編 倚翠楼主人訳 ; 春・夏・秋・冬 - 冬.-- 青心閣; 宝永2(1707)年刊.</v>
      </c>
    </row>
    <row r="2056" spans="1:3" ht="11.25">
      <c r="A2056" s="3" t="str">
        <f>"923/7/4/MASAOKA"</f>
        <v>923/7/4/MASAOKA</v>
      </c>
      <c r="B2056" s="3" t="str">
        <f>"冬"</f>
        <v>冬</v>
      </c>
      <c r="C2056" s="3" t="str">
        <f>"肉蒲団 : 一名覚後禅 / 情隠編 倚翠楼主人訳 ; 春・夏・秋・冬 - 冬.-- 青心閣; 宝永2(1707)年刊."</f>
        <v>肉蒲団 : 一名覚後禅 / 情隠編 倚翠楼主人訳 ; 春・夏・秋・冬 - 冬.-- 青心閣; 宝永2(1707)年刊.</v>
      </c>
    </row>
    <row r="2057" spans="1:3" ht="11.25">
      <c r="A2057" s="3" t="str">
        <f>"923/8/1/MASAOKA"</f>
        <v>923/8/1/MASAOKA</v>
      </c>
      <c r="B2057" s="3" t="str">
        <f>"1"</f>
        <v>1</v>
      </c>
      <c r="C2057" s="3" t="str">
        <f aca="true" t="shared" si="46" ref="C2057:C2067">"古今小説 / [憑夢龍編] ; 1~11 - 11.-- [出版者不明]; [明代刊]."</f>
        <v>古今小説 / [憑夢龍編] ; 1~11 - 11.-- [出版者不明]; [明代刊].</v>
      </c>
    </row>
    <row r="2058" spans="1:3" ht="11.25">
      <c r="A2058" s="3" t="str">
        <f>"923/8/2/MASAOKA"</f>
        <v>923/8/2/MASAOKA</v>
      </c>
      <c r="B2058" s="3" t="str">
        <f>"2"</f>
        <v>2</v>
      </c>
      <c r="C2058" s="3" t="str">
        <f t="shared" si="46"/>
        <v>古今小説 / [憑夢龍編] ; 1~11 - 11.-- [出版者不明]; [明代刊].</v>
      </c>
    </row>
    <row r="2059" spans="1:3" ht="11.25">
      <c r="A2059" s="3" t="str">
        <f>"923/8/3/MASAOKA"</f>
        <v>923/8/3/MASAOKA</v>
      </c>
      <c r="B2059" s="3" t="str">
        <f>"3"</f>
        <v>3</v>
      </c>
      <c r="C2059" s="3" t="str">
        <f t="shared" si="46"/>
        <v>古今小説 / [憑夢龍編] ; 1~11 - 11.-- [出版者不明]; [明代刊].</v>
      </c>
    </row>
    <row r="2060" spans="1:3" ht="11.25">
      <c r="A2060" s="3" t="str">
        <f>"923/8/4/MASAOKA"</f>
        <v>923/8/4/MASAOKA</v>
      </c>
      <c r="B2060" s="3" t="str">
        <f>"4"</f>
        <v>4</v>
      </c>
      <c r="C2060" s="3" t="str">
        <f t="shared" si="46"/>
        <v>古今小説 / [憑夢龍編] ; 1~11 - 11.-- [出版者不明]; [明代刊].</v>
      </c>
    </row>
    <row r="2061" spans="1:3" ht="11.25">
      <c r="A2061" s="3" t="str">
        <f>"923/8/5/MASAOKA"</f>
        <v>923/8/5/MASAOKA</v>
      </c>
      <c r="B2061" s="3" t="str">
        <f>"5"</f>
        <v>5</v>
      </c>
      <c r="C2061" s="3" t="str">
        <f t="shared" si="46"/>
        <v>古今小説 / [憑夢龍編] ; 1~11 - 11.-- [出版者不明]; [明代刊].</v>
      </c>
    </row>
    <row r="2062" spans="1:3" ht="11.25">
      <c r="A2062" s="3" t="str">
        <f>"923/8/6/MASAOKA"</f>
        <v>923/8/6/MASAOKA</v>
      </c>
      <c r="B2062" s="3" t="str">
        <f>"6"</f>
        <v>6</v>
      </c>
      <c r="C2062" s="3" t="str">
        <f t="shared" si="46"/>
        <v>古今小説 / [憑夢龍編] ; 1~11 - 11.-- [出版者不明]; [明代刊].</v>
      </c>
    </row>
    <row r="2063" spans="1:3" ht="11.25">
      <c r="A2063" s="3" t="str">
        <f>"923/8/7/MASAOKA"</f>
        <v>923/8/7/MASAOKA</v>
      </c>
      <c r="B2063" s="3" t="str">
        <f>"7"</f>
        <v>7</v>
      </c>
      <c r="C2063" s="3" t="str">
        <f t="shared" si="46"/>
        <v>古今小説 / [憑夢龍編] ; 1~11 - 11.-- [出版者不明]; [明代刊].</v>
      </c>
    </row>
    <row r="2064" spans="1:3" ht="11.25">
      <c r="A2064" s="3" t="str">
        <f>"923/8/8/MASAOKA"</f>
        <v>923/8/8/MASAOKA</v>
      </c>
      <c r="B2064" s="3" t="str">
        <f>"8"</f>
        <v>8</v>
      </c>
      <c r="C2064" s="3" t="str">
        <f t="shared" si="46"/>
        <v>古今小説 / [憑夢龍編] ; 1~11 - 11.-- [出版者不明]; [明代刊].</v>
      </c>
    </row>
    <row r="2065" spans="1:3" ht="11.25">
      <c r="A2065" s="3" t="str">
        <f>"923/8/9/MASAOKA"</f>
        <v>923/8/9/MASAOKA</v>
      </c>
      <c r="B2065" s="3" t="str">
        <f>"9"</f>
        <v>9</v>
      </c>
      <c r="C2065" s="3" t="str">
        <f t="shared" si="46"/>
        <v>古今小説 / [憑夢龍編] ; 1~11 - 11.-- [出版者不明]; [明代刊].</v>
      </c>
    </row>
    <row r="2066" spans="1:3" ht="11.25">
      <c r="A2066" s="3" t="str">
        <f>"923/8/10/MASAOKA"</f>
        <v>923/8/10/MASAOKA</v>
      </c>
      <c r="B2066" s="3" t="str">
        <f>"10"</f>
        <v>10</v>
      </c>
      <c r="C2066" s="3" t="str">
        <f t="shared" si="46"/>
        <v>古今小説 / [憑夢龍編] ; 1~11 - 11.-- [出版者不明]; [明代刊].</v>
      </c>
    </row>
    <row r="2067" spans="1:3" ht="11.25">
      <c r="A2067" s="3" t="str">
        <f>"923/8/11/MASAOKA"</f>
        <v>923/8/11/MASAOKA</v>
      </c>
      <c r="B2067" s="3" t="str">
        <f>"11"</f>
        <v>11</v>
      </c>
      <c r="C2067" s="3" t="str">
        <f t="shared" si="46"/>
        <v>古今小説 / [憑夢龍編] ; 1~11 - 11.-- [出版者不明]; [明代刊].</v>
      </c>
    </row>
    <row r="2068" spans="1:3" ht="11.25">
      <c r="A2068" s="3" t="str">
        <f>"930/1//MASAOKA"</f>
        <v>930/1//MASAOKA</v>
      </c>
      <c r="B2068" s="3">
        <f>""</f>
      </c>
      <c r="C2068" s="3" t="str">
        <f>"彫像師 / コンウェイ作 内田魯庵(不知庵)訳.-- 博文館; 明治30(1897)年1月.-- (袖珍小説 ; 第4編)."</f>
        <v>彫像師 / コンウェイ作 内田魯庵(不知庵)訳.-- 博文館; 明治30(1897)年1月.-- (袖珍小説 ; 第4編).</v>
      </c>
    </row>
  </sheetData>
  <sheetProtection/>
  <autoFilter ref="C1:C2068"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7.7109375" style="1" customWidth="1"/>
    <col min="2" max="2" width="6.57421875" style="1" customWidth="1"/>
    <col min="3" max="3" width="152.7109375" style="1" customWidth="1"/>
    <col min="4" max="16384" width="9.00390625" style="1" customWidth="1"/>
  </cols>
  <sheetData>
    <row r="1" spans="1:3" ht="11.25">
      <c r="A1" s="2" t="str">
        <f>"請求記号"</f>
        <v>請求記号</v>
      </c>
      <c r="B1" s="2" t="str">
        <f>"巻次"</f>
        <v>巻次</v>
      </c>
      <c r="C1" s="2" t="str">
        <f>"書名"</f>
        <v>書名</v>
      </c>
    </row>
    <row r="2" spans="1:3" ht="11.25">
      <c r="A2" s="3" t="str">
        <f>"A4/94/1/MASAOKA"</f>
        <v>A4/94/1/MASAOKA</v>
      </c>
      <c r="B2" s="3" t="str">
        <f>"v. 1"</f>
        <v>v. 1</v>
      </c>
      <c r="C2" s="3" t="str">
        <f>"Personal memoirs of U.S. Grant ; v. 1 - 2, v. 1, v. 2.-- Yeibun-Shoin; 1887.-- (The English literature library ; 1-2)."</f>
        <v>Personal memoirs of U.S. Grant ; v. 1 - 2, v. 1, v. 2.-- Yeibun-Shoin; 1887.-- (The English literature library ; 1-2).</v>
      </c>
    </row>
    <row r="3" spans="1:3" ht="11.25">
      <c r="A3" s="3" t="str">
        <f>"A4/94/2/MASAOKA"</f>
        <v>A4/94/2/MASAOKA</v>
      </c>
      <c r="B3" s="3" t="str">
        <f>"v. 2"</f>
        <v>v. 2</v>
      </c>
      <c r="C3" s="3" t="str">
        <f>"Personal memoirs of U.S. Grant ; v. 1 - 2, v. 1, v. 2.-- Yeibun-Shoin; 1887.-- (The English literature library ; 1-2)."</f>
        <v>Personal memoirs of U.S. Grant ; v. 1 - 2, v. 1, v. 2.-- Yeibun-Shoin; 1887.-- (The English literature library ; 1-2).</v>
      </c>
    </row>
    <row r="4" spans="1:3" ht="11.25">
      <c r="A4" s="3" t="str">
        <f>"B1/831//MASAOKA"</f>
        <v>B1/831//MASAOKA</v>
      </c>
      <c r="B4" s="3">
        <f>""</f>
      </c>
      <c r="C4" s="3" t="str">
        <f>"Philosophy of style : an essay / by Herbert Spencer ; with notes by the American editor.-- Kimura &amp; Sons; 1887."</f>
        <v>Philosophy of style : an essay / by Herbert Spencer ; with notes by the American editor.-- Kimura &amp; Sons; 1887.</v>
      </c>
    </row>
    <row r="5" spans="1:3" ht="11.25">
      <c r="A5" s="3" t="str">
        <f>"B2/66//MASAOKA"</f>
        <v>B2/66//MASAOKA</v>
      </c>
      <c r="B5" s="3">
        <f>""</f>
      </c>
      <c r="C5" s="3" t="str">
        <f>"Elementary lessons in logic : deductive and inductive : with copious questions and examples, and a vocabulary of logical terms / by W. Stanley Jevons.-- Macmillan; 1884.-- (Macmillan's school class books)."</f>
        <v>Elementary lessons in logic : deductive and inductive : with copious questions and examples, and a vocabulary of logical terms / by W. Stanley Jevons.-- Macmillan; 1884.-- (Macmillan's school class books).</v>
      </c>
    </row>
    <row r="6" spans="1:3" ht="11.25">
      <c r="A6" s="3" t="str">
        <f>"B3/392//MASAOKA"</f>
        <v>B3/392//MASAOKA</v>
      </c>
      <c r="B6" s="3">
        <f>""</f>
      </c>
      <c r="C6" s="3" t="s">
        <v>1</v>
      </c>
    </row>
    <row r="7" spans="1:3" ht="11.25">
      <c r="A7" s="3" t="str">
        <f>"E2a/76//MASAOKA"</f>
        <v>E2a/76//MASAOKA</v>
      </c>
      <c r="B7" s="3">
        <f>""</f>
      </c>
      <c r="C7" s="3" t="str">
        <f>"Nutall's standard dictionary of the English language : based on the labours of the most eminent lexicographers / revised extended, and improved throughout by the rev. James Wood.-- New ed..-- Frederick Warne; 1888."</f>
        <v>Nutall's standard dictionary of the English language : based on the labours of the most eminent lexicographers / revised extended, and improved throughout by the rev. James Wood.-- New ed..-- Frederick Warne; 1888.</v>
      </c>
    </row>
    <row r="8" spans="1:3" ht="11.25">
      <c r="A8" s="3" t="str">
        <f>"E2c/46//MASAOKA"</f>
        <v>E2c/46//MASAOKA</v>
      </c>
      <c r="B8" s="3">
        <f>""</f>
      </c>
      <c r="C8" s="3" t="s">
        <v>2</v>
      </c>
    </row>
    <row r="9" spans="1:3" ht="11.25">
      <c r="A9" s="3" t="str">
        <f>"E3/347//MASAOKA"</f>
        <v>E3/347//MASAOKA</v>
      </c>
      <c r="B9" s="3">
        <f>""</f>
      </c>
      <c r="C9" s="3" t="str">
        <f>"English lessons for Japanese students / by James Main Dixon.-- Kyoyekishosha; 1886."</f>
        <v>English lessons for Japanese students / by James Main Dixon.-- Kyoyekishosha; 1886.</v>
      </c>
    </row>
    <row r="10" spans="1:3" ht="11.25">
      <c r="A10" s="3" t="str">
        <f>"E3/348/1/MASAOKA"</f>
        <v>E3/348/1/MASAOKA</v>
      </c>
      <c r="B10" s="3" t="str">
        <f>"part 1"</f>
        <v>part 1</v>
      </c>
      <c r="C10" s="3" t="str">
        <f>"The principles of rhetoric and English composition for Japanese students / W. D. Cox ; part 1-2, part 1, part 2.-- 2nd ed.(streotyped).-- Z. P. Maruya &amp; Co.; 1884-1885."</f>
        <v>The principles of rhetoric and English composition for Japanese students / W. D. Cox ; part 1-2, part 1, part 2.-- 2nd ed.(streotyped).-- Z. P. Maruya &amp; Co.; 1884-1885.</v>
      </c>
    </row>
    <row r="11" spans="1:3" ht="11.25">
      <c r="A11" s="3" t="str">
        <f>"E3/348/2/MASAOKA"</f>
        <v>E3/348/2/MASAOKA</v>
      </c>
      <c r="B11" s="3" t="str">
        <f>"part 2"</f>
        <v>part 2</v>
      </c>
      <c r="C11" s="3" t="str">
        <f>"The principles of rhetoric and English composition for Japanese students / W. D. Cox ; part 1-2, part 1, part 2.-- 2nd ed.(streotyped).-- Z. P. Maruya &amp; Co.; 1884-1885."</f>
        <v>The principles of rhetoric and English composition for Japanese students / W. D. Cox ; part 1-2, part 1, part 2.-- 2nd ed.(streotyped).-- Z. P. Maruya &amp; Co.; 1884-1885.</v>
      </c>
    </row>
    <row r="12" spans="1:3" ht="11.25">
      <c r="A12" s="3" t="str">
        <f>"E3/349//MASAOKA"</f>
        <v>E3/349//MASAOKA</v>
      </c>
      <c r="B12" s="3">
        <f>""</f>
      </c>
      <c r="C12" s="3" t="str">
        <f>"Beeton's complete letter-writer for gentlemen / Beeton.-- Ward, Lock; [18--]."</f>
        <v>Beeton's complete letter-writer for gentlemen / Beeton.-- Ward, Lock; [18--].</v>
      </c>
    </row>
    <row r="13" spans="1:3" ht="11.25">
      <c r="A13" s="3" t="str">
        <f>"E6/42//MASAOKA"</f>
        <v>E6/42//MASAOKA</v>
      </c>
      <c r="B13" s="3">
        <f>""</f>
      </c>
      <c r="C13" s="3" t="str">
        <f>"Macmillan's shorter Latin course : being an abridgment of Macmillan's Latin course-first year / by A. M. Cook.-- Macmillan; 1889."</f>
        <v>Macmillan's shorter Latin course : being an abridgment of Macmillan's Latin course-first year / by A. M. Cook.-- Macmillan; 1889.</v>
      </c>
    </row>
    <row r="14" spans="1:3" ht="11.25">
      <c r="A14" s="3" t="str">
        <f>"F3a/381//MASAOKA"</f>
        <v>F3a/381//MASAOKA</v>
      </c>
      <c r="B14" s="3">
        <f>""</f>
      </c>
      <c r="C14" s="3" t="s">
        <v>3</v>
      </c>
    </row>
    <row r="15" spans="1:3" ht="11.25">
      <c r="A15" s="3" t="str">
        <f>"F3a/382//MASAOKA"</f>
        <v>F3a/382//MASAOKA</v>
      </c>
      <c r="B15" s="3">
        <f>""</f>
      </c>
      <c r="C15" s="3" t="str">
        <f>"Milton and Machiavelli : two essays / by Lord Macaulay.-- Longmans, Green; 1887."</f>
        <v>Milton and Machiavelli : two essays / by Lord Macaulay.-- Longmans, Green; 1887.</v>
      </c>
    </row>
    <row r="16" spans="1:3" ht="11.25">
      <c r="A16" s="3" t="str">
        <f>"F3c/235//MASAOKA"</f>
        <v>F3c/235//MASAOKA</v>
      </c>
      <c r="B16" s="3">
        <f>""</f>
      </c>
      <c r="C16" s="3" t="str">
        <f>"A Christmas Carol and The chimes / by Charles Dickens ; with an introduction by the Rev. Hugh Reginald Haweis.-- George Routledge; 1886.-- (Routledge's world library)."</f>
        <v>A Christmas Carol and The chimes / by Charles Dickens ; with an introduction by the Rev. Hugh Reginald Haweis.-- George Routledge; 1886.-- (Routledge's world library).</v>
      </c>
    </row>
    <row r="17" spans="1:3" ht="11.25">
      <c r="A17" s="3" t="str">
        <f>"F3c/239//MASAOKA"</f>
        <v>F3c/239//MASAOKA</v>
      </c>
      <c r="B17" s="3">
        <f>""</f>
      </c>
      <c r="C17" s="3" t="str">
        <f>"Buckthorne and his friends / Washington Irving.-- T. Yoshioka &amp; Co.; [1887?]."</f>
        <v>Buckthorne and his friends / Washington Irving.-- T. Yoshioka &amp; Co.; [1887?].</v>
      </c>
    </row>
    <row r="18" spans="1:3" ht="11.25">
      <c r="A18" s="3" t="str">
        <f>"F3c/242//MASAOKA"</f>
        <v>F3c/242//MASAOKA</v>
      </c>
      <c r="B18" s="3">
        <f>""</f>
      </c>
      <c r="C18" s="3" t="str">
        <f>"The Posthumous Papers of Pickwick Club / by Charles Dickens.-- Author's ed..-- Chapman and Hall and Routledge; 1884.-- (Routledge's six penny unabridged novels)."</f>
        <v>The Posthumous Papers of Pickwick Club / by Charles Dickens.-- Author's ed..-- Chapman and Hall and Routledge; 1884.-- (Routledge's six penny unabridged novels).</v>
      </c>
    </row>
    <row r="19" spans="1:3" ht="11.25">
      <c r="A19" s="3" t="str">
        <f>"F3c/243//MASAOKA"</f>
        <v>F3c/243//MASAOKA</v>
      </c>
      <c r="B19" s="3">
        <f>""</f>
      </c>
      <c r="C19" s="3" t="str">
        <f>"Rienzi : the last of the roman tribunes / by Right Hon. Lord Lytton.-- George Routledge; [1848?].-- (Routledge's sixpenny unabridged novels ; 135)."</f>
        <v>Rienzi : the last of the roman tribunes / by Right Hon. Lord Lytton.-- George Routledge; [1848?].-- (Routledge's sixpenny unabridged novels ; 135).</v>
      </c>
    </row>
    <row r="20" spans="1:3" ht="11.25">
      <c r="A20" s="3" t="str">
        <f>"F3c/244//MASAOKA"</f>
        <v>F3c/244//MASAOKA</v>
      </c>
      <c r="B20" s="3">
        <f>""</f>
      </c>
      <c r="C20" s="3" t="str">
        <f>"Eugene Aram : a tale / by Right Hon. Lord Lytton.-- Author's revised ed..-- George Routledge; [1847?].-- (Routledge's sixpenny unabridged novels ; 132)."</f>
        <v>Eugene Aram : a tale / by Right Hon. Lord Lytton.-- Author's revised ed..-- George Routledge; [1847?].-- (Routledge's sixpenny unabridged novels ; 132).</v>
      </c>
    </row>
    <row r="21" spans="1:3" ht="11.25">
      <c r="A21" s="3" t="str">
        <f>"F3c/245//MASAOKA"</f>
        <v>F3c/245//MASAOKA</v>
      </c>
      <c r="B21" s="3">
        <f>""</f>
      </c>
      <c r="C21" s="3" t="str">
        <f>"Night and morning / by The Right Hon. Lord Lytton.-- Author's revised edition.-- George Routledge; [1851?].-- (Routledge's sixpenny unabridged novels)."</f>
        <v>Night and morning / by The Right Hon. Lord Lytton.-- Author's revised edition.-- George Routledge; [1851?].-- (Routledge's sixpenny unabridged novels).</v>
      </c>
    </row>
    <row r="22" spans="1:3" ht="11.25">
      <c r="A22" s="3" t="str">
        <f>"F3c/246//MASAOKA"</f>
        <v>F3c/246//MASAOKA</v>
      </c>
      <c r="B22" s="3">
        <f>""</f>
      </c>
      <c r="C22" s="3" t="str">
        <f>"Waverley, or 'Tis sixty years since / by Sir Walter Scott.-- Author's ofiginal ed., complete.-- Routledge; [1884?].-- (Routledge's sixpenny unabridged novels ; 43)."</f>
        <v>Waverley, or 'Tis sixty years since / by Sir Walter Scott.-- Author's ofiginal ed., complete.-- Routledge; [1884?].-- (Routledge's sixpenny unabridged novels ; 43).</v>
      </c>
    </row>
    <row r="23" spans="1:3" ht="11.25">
      <c r="A23" s="3" t="str">
        <f>"F3c/247//MASAOKA"</f>
        <v>F3c/247//MASAOKA</v>
      </c>
      <c r="B23" s="3">
        <f>""</f>
      </c>
      <c r="C23" s="3" t="str">
        <f>"Ivanhoe / by Sir Walter Scott.-- Author's ofiginal ed., complete.-- Routledge; [1884?].-- (Routledge's sixpenny unabridged novels ; 39)."</f>
        <v>Ivanhoe / by Sir Walter Scott.-- Author's ofiginal ed., complete.-- Routledge; [1884?].-- (Routledge's sixpenny unabridged novels ; 39).</v>
      </c>
    </row>
    <row r="24" spans="1:3" ht="11.25">
      <c r="A24" s="3" t="str">
        <f>"F3c/248//MASAOKA"</f>
        <v>F3c/248//MASAOKA</v>
      </c>
      <c r="B24" s="3">
        <f>""</f>
      </c>
      <c r="C24" s="3" t="str">
        <f>"Uncle Tom's cabin : a tale of life among the lowly / by Harriet Beecher Stowe.-- George Routledge; [1852?].-- (Routledge's sixpenny unabridged novels)."</f>
        <v>Uncle Tom's cabin : a tale of life among the lowly / by Harriet Beecher Stowe.-- George Routledge; [1852?].-- (Routledge's sixpenny unabridged novels).</v>
      </c>
    </row>
    <row r="25" spans="1:3" ht="11.25">
      <c r="A25" s="3" t="str">
        <f>"F3c/249//MASAOKA"</f>
        <v>F3c/249//MASAOKA</v>
      </c>
      <c r="B25" s="3">
        <f>""</f>
      </c>
      <c r="C25" s="3" t="str">
        <f>"The vicar of Wakefield / by Oliver Goldsmith.-- George Routledge; [18--?].-- (Routledge's sixpenny unabridged novels)."</f>
        <v>The vicar of Wakefield / by Oliver Goldsmith.-- George Routledge; [18--?].-- (Routledge's sixpenny unabridged novels).</v>
      </c>
    </row>
    <row r="26" spans="1:3" ht="11.25">
      <c r="A26" s="3" t="str">
        <f>"F3c/250//MASAOKA"</f>
        <v>F3c/250//MASAOKA</v>
      </c>
      <c r="B26" s="3">
        <f>""</f>
      </c>
      <c r="C26" s="3" t="str">
        <f>"Twenty years after / by A. Dumas.-- George Routledge; [18--?].-- (Routledge's sixpenny unabridged novels ; 202)."</f>
        <v>Twenty years after / by A. Dumas.-- George Routledge; [18--?].-- (Routledge's sixpenny unabridged novels ; 202).</v>
      </c>
    </row>
    <row r="27" spans="1:3" ht="11.25">
      <c r="A27" s="3" t="str">
        <f>"F3e/218//MASAOKA"</f>
        <v>F3e/218//MASAOKA</v>
      </c>
      <c r="B27" s="3">
        <f>""</f>
      </c>
      <c r="C27" s="3" t="str">
        <f>"The poetical works of Robert Burns / edited with introductory biography and notes by Charles Kent.-- Complete ed..-- George Routledge; [1862]."</f>
        <v>The poetical works of Robert Burns / edited with introductory biography and notes by Charles Kent.-- Complete ed..-- George Routledge; [1862].</v>
      </c>
    </row>
    <row r="28" spans="1:3" ht="11.25">
      <c r="A28" s="3" t="str">
        <f>"F3e/219//MASAOKA"</f>
        <v>F3e/219//MASAOKA</v>
      </c>
      <c r="B28" s="3">
        <f>""</f>
      </c>
      <c r="C28" s="3" t="str">
        <f>"The works of Alfred Lord Tennyson : poet laureate / Alfred Lord Tennyson.-- Macmillan; 1890."</f>
        <v>The works of Alfred Lord Tennyson : poet laureate / Alfred Lord Tennyson.-- Macmillan; 1890.</v>
      </c>
    </row>
    <row r="29" spans="1:3" ht="11.25">
      <c r="A29" s="3" t="str">
        <f>"F3e/220//MASAOKA"</f>
        <v>F3e/220//MASAOKA</v>
      </c>
      <c r="B29" s="3">
        <f>""</f>
      </c>
      <c r="C29" s="3" t="str">
        <f>"A bundle of ballads / edited with an introduction and glossary by Henry Morley.-- George Routledge; 1891.-- (Companion poets ; 2)."</f>
        <v>A bundle of ballads / edited with an introduction and glossary by Henry Morley.-- George Routledge; 1891.-- (Companion poets ; 2).</v>
      </c>
    </row>
    <row r="30" spans="1:3" ht="11.25">
      <c r="A30" s="3" t="str">
        <f>"F3e/221//MASAOKA"</f>
        <v>F3e/221//MASAOKA</v>
      </c>
      <c r="B30" s="3">
        <f>""</f>
      </c>
      <c r="C30" s="3" t="str">
        <f>"Milton's l'Allegro, il Penseroso, Arcades, Lycidas, Sonnets etc. / with introduction and notes by W. Bell.-- Macmillan; 1890."</f>
        <v>Milton's l'Allegro, il Penseroso, Arcades, Lycidas, Sonnets etc. / with introduction and notes by W. Bell.-- Macmillan; 1890.</v>
      </c>
    </row>
    <row r="31" spans="1:3" ht="11.25">
      <c r="A31" s="3" t="str">
        <f>"F3e/222//MASAOKA"</f>
        <v>F3e/222//MASAOKA</v>
      </c>
      <c r="B31" s="3">
        <f>""</f>
      </c>
      <c r="C31" s="3" t="str">
        <f>"The poetical works of Percy Bysshe Shelley / Percy Bysshe Shelley.-- Frederick Warne; [1874]."</f>
        <v>The poetical works of Percy Bysshe Shelley / Percy Bysshe Shelley.-- Frederick Warne; [1874].</v>
      </c>
    </row>
    <row r="32" spans="1:3" ht="11.25">
      <c r="A32" s="3" t="str">
        <f>"F3e/223//MASAOKA"</f>
        <v>F3e/223//MASAOKA</v>
      </c>
      <c r="B32" s="3">
        <f>""</f>
      </c>
      <c r="C32" s="3" t="str">
        <f>"The poetical works of Wordsworth / [William Wordsworth].-- Frederick Warne; [1885]."</f>
        <v>The poetical works of Wordsworth / [William Wordsworth].-- Frederick Warne; [1885].</v>
      </c>
    </row>
    <row r="33" spans="1:3" ht="11.25">
      <c r="A33" s="3" t="str">
        <f>"F3e/224//MASAOKA"</f>
        <v>F3e/224//MASAOKA</v>
      </c>
      <c r="B33" s="3">
        <f>""</f>
      </c>
      <c r="C33" s="3" t="str">
        <f>"The poetical works of S. T. Coleridge / S. T. Coleridge.-- Frederick Warne; [188-?]."</f>
        <v>The poetical works of S. T. Coleridge / S. T. Coleridge.-- Frederick Warne; [188-?].</v>
      </c>
    </row>
    <row r="34" spans="1:3" ht="11.25">
      <c r="A34" s="3" t="str">
        <f>"F3e/225//MASAOKA"</f>
        <v>F3e/225//MASAOKA</v>
      </c>
      <c r="B34" s="3">
        <f>""</f>
      </c>
      <c r="C34" s="3" t="str">
        <f>"Select poems / with an introduction by the rev. Hugh Reginald Haweis.-- George Routledge; 1886.-- (Routledge's world library)."</f>
        <v>Select poems / with an introduction by the rev. Hugh Reginald Haweis.-- George Routledge; 1886.-- (Routledge's world library).</v>
      </c>
    </row>
    <row r="35" spans="1:3" ht="11.25">
      <c r="A35" s="3" t="str">
        <f>"F3e/226//MASAOKA"</f>
        <v>F3e/226//MASAOKA</v>
      </c>
      <c r="B35" s="3">
        <f>""</f>
      </c>
      <c r="C35" s="3" t="str">
        <f>"Gray's poems / edited with Johnson's life, and selections from Gray's letters by Francis Storr.-- New ed..-- Rivingtons; [1879].-- (English school-classics)."</f>
        <v>Gray's poems / edited with Johnson's life, and selections from Gray's letters by Francis Storr.-- New ed..-- Rivingtons; [1879].-- (English school-classics).</v>
      </c>
    </row>
    <row r="36" spans="1:3" ht="11.25">
      <c r="A36" s="3" t="str">
        <f>"F3e/228//MASAOKA"</f>
        <v>F3e/228//MASAOKA</v>
      </c>
      <c r="B36" s="3">
        <f>""</f>
      </c>
      <c r="C36" s="3" t="str">
        <f>"The poetical works of John Milton / with introductions by David Masson.-- Macmillan; 1887.-- (The Grobe edition)."</f>
        <v>The poetical works of John Milton / with introductions by David Masson.-- Macmillan; 1887.-- (The Grobe edition).</v>
      </c>
    </row>
    <row r="37" spans="1:3" ht="11.25">
      <c r="A37" s="3" t="str">
        <f>"F3e/229//MASAOKA"</f>
        <v>F3e/229//MASAOKA</v>
      </c>
      <c r="B37" s="3">
        <f>""</f>
      </c>
      <c r="C37" s="3" t="str">
        <f>"The lady of the lake / by Sir Walter Scott ; [edited by Henry Morley].-- Cassell &amp; Company Ltd.; 1886.-- (Cassell's national library)."</f>
        <v>The lady of the lake / by Sir Walter Scott ; [edited by Henry Morley].-- Cassell &amp; Company Ltd.; 1886.-- (Cassell's national library).</v>
      </c>
    </row>
    <row r="38" spans="1:3" ht="11.25">
      <c r="A38" s="3" t="str">
        <f>"F4a/127//MASAOKA"</f>
        <v>F4a/127//MASAOKA</v>
      </c>
      <c r="B38" s="3">
        <f>""</f>
      </c>
      <c r="C38" s="3" t="str">
        <f>"Great authors : from Goldsmith to Wordsworth.-- T. Nelson; 1890.-- (The Royal upper class readers ; 2nd period)."</f>
        <v>Great authors : from Goldsmith to Wordsworth.-- T. Nelson; 1890.-- (The Royal upper class readers ; 2nd period).</v>
      </c>
    </row>
    <row r="39" spans="1:3" ht="11.25">
      <c r="A39" s="3" t="str">
        <f>"F4c/139//MASAOKA"</f>
        <v>F4c/139//MASAOKA</v>
      </c>
      <c r="B39" s="3">
        <f>""</f>
      </c>
      <c r="C39" s="3" t="str">
        <f>"On heroes, hero-worship and the heroic in history / by Thomas Carlyle.-- Centenary ed..-- Chapman and Hall; 1891.-- (The shilling edition of Thomas Carlyle's works)."</f>
        <v>On heroes, hero-worship and the heroic in history / by Thomas Carlyle.-- Centenary ed..-- Chapman and Hall; 1891.-- (The shilling edition of Thomas Carlyle's works).</v>
      </c>
    </row>
    <row r="40" spans="1:3" ht="11.25">
      <c r="A40" s="3" t="str">
        <f>"F4c/140//MASAOKA"</f>
        <v>F4c/140//MASAOKA</v>
      </c>
      <c r="B40" s="3">
        <f>""</f>
      </c>
      <c r="C40" s="3" t="str">
        <f>"Vice versa : or, a lesson to fathers / by F. Anstey.-- T. Yoshioka &amp; Co.; 1888."</f>
        <v>Vice versa : or, a lesson to fathers / by F. Anstey.-- T. Yoshioka &amp; Co.; 1888.</v>
      </c>
    </row>
    <row r="41" spans="1:3" ht="11.25">
      <c r="A41" s="3" t="str">
        <f>"F4d/260//MASAOKA"</f>
        <v>F4d/260//MASAOKA</v>
      </c>
      <c r="B41" s="3">
        <f>""</f>
      </c>
      <c r="C41" s="3" t="str">
        <f>"Faust : a tragedy / by Johann Wolfgang von Goethe ; translated, in the original metres by Bayard Taylor.-- F. Warne; [19--].-- (The ""Chandos classics"")."</f>
        <v>Faust : a tragedy / by Johann Wolfgang von Goethe ; translated, in the original metres by Bayard Taylor.-- F. Warne; [19--].-- (The "Chandos classics").</v>
      </c>
    </row>
    <row r="42" spans="1:3" ht="11.25">
      <c r="A42" s="3" t="str">
        <f>"F4d/261//MASAOKA"</f>
        <v>F4d/261//MASAOKA</v>
      </c>
      <c r="B42" s="3">
        <f>""</f>
      </c>
      <c r="C42" s="3" t="str">
        <f>"Shakespeare's tragedy of Julius Caesar / edited, with notes, by William J. Rolfe.-- Harper &amp; Brothers; 1887.-- (English classics)."</f>
        <v>Shakespeare's tragedy of Julius Caesar / edited, with notes, by William J. Rolfe.-- Harper &amp; Brothers; 1887.-- (English classics).</v>
      </c>
    </row>
    <row r="43" spans="1:3" ht="11.25">
      <c r="A43" s="3" t="str">
        <f>"F4d/262//MASAOKA"</f>
        <v>F4d/262//MASAOKA</v>
      </c>
      <c r="B43" s="3">
        <f>""</f>
      </c>
      <c r="C43" s="3" t="str">
        <f>"Shakespeare's comedy of The merchant of Venice / edited, with notes, by William J. Rolfe.-- Harper &amp; Brothers; 1887.-- (English classics)."</f>
        <v>Shakespeare's comedy of The merchant of Venice / edited, with notes, by William J. Rolfe.-- Harper &amp; Brothers; 1887.-- (English classics).</v>
      </c>
    </row>
    <row r="44" spans="1:3" ht="11.25">
      <c r="A44" s="3" t="str">
        <f>"F5c/648//MASAOKA"</f>
        <v>F5c/648//MASAOKA</v>
      </c>
      <c r="B44" s="3">
        <f>""</f>
      </c>
      <c r="C44" s="3" t="s">
        <v>0</v>
      </c>
    </row>
    <row r="45" spans="1:3" ht="11.25">
      <c r="A45" s="3" t="str">
        <f>"F5c/649//MASAOKA"</f>
        <v>F5c/649//MASAOKA</v>
      </c>
      <c r="B45" s="3">
        <f>""</f>
      </c>
      <c r="C45" s="3" t="s">
        <v>4</v>
      </c>
    </row>
    <row r="46" spans="1:3" ht="11.25">
      <c r="A46" s="3" t="str">
        <f>"F5c/650//MASAOKA"</f>
        <v>F5c/650//MASAOKA</v>
      </c>
      <c r="B46" s="3">
        <f>""</f>
      </c>
      <c r="C46" s="3" t="s">
        <v>5</v>
      </c>
    </row>
    <row r="47" spans="1:3" ht="11.25">
      <c r="A47" s="3" t="str">
        <f>"H8/273//MASAOKA"</f>
        <v>H8/273//MASAOKA</v>
      </c>
      <c r="B47" s="3">
        <f>""</f>
      </c>
      <c r="C47" s="3" t="str">
        <f>"The autobiography of Benjamin Franklin / Benjamin Franklin ; edited by Henry Morley.-- Cassell &amp; Co.; 1886.-- (Cassell's national library)."</f>
        <v>The autobiography of Benjamin Franklin / Benjamin Franklin ; edited by Henry Morley.-- Cassell &amp; Co.; 1886.-- (Cassell's national library).</v>
      </c>
    </row>
    <row r="48" spans="1:3" ht="11.25">
      <c r="A48" s="3" t="str">
        <f>"L3/331//MASAOKA"</f>
        <v>L3/331//MASAOKA</v>
      </c>
      <c r="B48" s="3">
        <f>""</f>
      </c>
      <c r="C48" s="3" t="str">
        <f>"Imperial oath at the sanctuary of the Imperial Palace.-- Smith Kay; [18--]."</f>
        <v>Imperial oath at the sanctuary of the Imperial Palace.-- Smith Kay; [18--].</v>
      </c>
    </row>
  </sheetData>
  <sheetProtection/>
  <autoFilter ref="C1:C48"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jim1</dc:creator>
  <cp:keywords/>
  <dc:description/>
  <cp:lastModifiedBy>h_120312</cp:lastModifiedBy>
  <cp:lastPrinted>2014-03-29T07:16:33Z</cp:lastPrinted>
  <dcterms:created xsi:type="dcterms:W3CDTF">2014-03-29T05:42:32Z</dcterms:created>
  <dcterms:modified xsi:type="dcterms:W3CDTF">2020-09-25T01:50:30Z</dcterms:modified>
  <cp:category/>
  <cp:version/>
  <cp:contentType/>
  <cp:contentStatus/>
</cp:coreProperties>
</file>